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B3EE0A8-D899-4DAF-B225-C23DA92D42BD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2" r:id="rId1"/>
  </sheets>
  <calcPr calcId="179021"/>
</workbook>
</file>

<file path=xl/calcChain.xml><?xml version="1.0" encoding="utf-8"?>
<calcChain xmlns="http://schemas.openxmlformats.org/spreadsheetml/2006/main">
  <c r="D35" i="12" l="1"/>
  <c r="E34" i="12"/>
  <c r="G34" i="12" s="1"/>
  <c r="E33" i="12"/>
  <c r="F33" i="12" s="1"/>
  <c r="D29" i="12"/>
  <c r="E28" i="12"/>
  <c r="G28" i="12" s="1"/>
  <c r="E27" i="12"/>
  <c r="G27" i="12" s="1"/>
  <c r="D24" i="12"/>
  <c r="E23" i="12"/>
  <c r="G23" i="12" s="1"/>
  <c r="G22" i="12"/>
  <c r="F22" i="12"/>
  <c r="E16" i="12"/>
  <c r="D16" i="12"/>
  <c r="D17" i="12" s="1"/>
  <c r="E15" i="12"/>
  <c r="D12" i="12"/>
  <c r="E11" i="12"/>
  <c r="G11" i="12" s="1"/>
  <c r="E10" i="12"/>
  <c r="F10" i="12" s="1"/>
  <c r="E9" i="12"/>
  <c r="G9" i="12" s="1"/>
  <c r="E8" i="12"/>
  <c r="G8" i="12" s="1"/>
  <c r="E7" i="12"/>
  <c r="G7" i="12" s="1"/>
  <c r="E6" i="12"/>
  <c r="F6" i="12" s="1"/>
  <c r="E17" i="12" l="1"/>
  <c r="F16" i="12"/>
  <c r="G16" i="12"/>
  <c r="F9" i="12"/>
  <c r="F15" i="12"/>
  <c r="E29" i="12"/>
  <c r="G29" i="12" s="1"/>
  <c r="G15" i="12"/>
  <c r="G33" i="12"/>
  <c r="F8" i="12"/>
  <c r="G6" i="12"/>
  <c r="G10" i="12"/>
  <c r="F23" i="12"/>
  <c r="F24" i="12" s="1"/>
  <c r="E35" i="12"/>
  <c r="G35" i="12" s="1"/>
  <c r="D18" i="12"/>
  <c r="F17" i="12"/>
  <c r="E24" i="12"/>
  <c r="G24" i="12" s="1"/>
  <c r="F7" i="12"/>
  <c r="F27" i="12"/>
  <c r="E12" i="12"/>
  <c r="F11" i="12"/>
  <c r="F28" i="12"/>
  <c r="F34" i="12"/>
  <c r="F29" i="12" l="1"/>
  <c r="F35" i="12"/>
  <c r="E18" i="12"/>
  <c r="F12" i="12"/>
  <c r="G12" i="12"/>
</calcChain>
</file>

<file path=xl/sharedStrings.xml><?xml version="1.0" encoding="utf-8"?>
<sst xmlns="http://schemas.openxmlformats.org/spreadsheetml/2006/main" count="60" uniqueCount="48">
  <si>
    <t>Подача воды по распределительным сетям</t>
  </si>
  <si>
    <t>Передача и распределение тепловой энергии</t>
  </si>
  <si>
    <t>Замена сетей</t>
  </si>
  <si>
    <t xml:space="preserve">Исполнение утвержденной инвестицонной программы ТОО "Окжетпес-Т" на 2022г. </t>
  </si>
  <si>
    <t>№ п/п</t>
  </si>
  <si>
    <t xml:space="preserve">Кол-во </t>
  </si>
  <si>
    <t xml:space="preserve">Наименование мероприятия </t>
  </si>
  <si>
    <t>План</t>
  </si>
  <si>
    <t>Факт</t>
  </si>
  <si>
    <t>Отклонение</t>
  </si>
  <si>
    <t>Пояснение</t>
  </si>
  <si>
    <t>тенге</t>
  </si>
  <si>
    <t>%</t>
  </si>
  <si>
    <t>Замена сетей.</t>
  </si>
  <si>
    <t>1.1</t>
  </si>
  <si>
    <t>Замена участка внутриквартальной тепловой сети 2-го микрорайона по Республики 49,51,51/1,51/2,53,53/1,53/2,53/3,53/4</t>
  </si>
  <si>
    <t>Исполнение 100%. Связано с ростом стоимости материалов на ГЗ</t>
  </si>
  <si>
    <t>1.2</t>
  </si>
  <si>
    <t>Замена участка уличной тепломагистрали по пр.Металлургов от ТК-46 с переходом через ул. Абая до П-образного компенсатора по пр. Металлургов, 15/1</t>
  </si>
  <si>
    <t>Исполнение 100%.</t>
  </si>
  <si>
    <t>1.3</t>
  </si>
  <si>
    <t>Замена участка уличной тепломагистрали по пр. Металлургов от ТК Металлургов, 13 с переходом через автодорогу ул. Абая до ТК-46</t>
  </si>
  <si>
    <t>1.4</t>
  </si>
  <si>
    <t>Замена участка внутриквартальной тепловой сети 2-го микрорайонасо стороны ул. Абая у домам по ул. Абая 50,52,56,56/2</t>
  </si>
  <si>
    <t>Экономия при проведении тенденых процедур на ГЗ</t>
  </si>
  <si>
    <t>1.5</t>
  </si>
  <si>
    <t>ТМ-3. Замена П-одразного компенсатора ф820 мм (с надземной прокладки на подземную) и сального компенсатора ф820 мм по ул. Мичурина (заезд на н/станцию Металлург")</t>
  </si>
  <si>
    <t>1.6</t>
  </si>
  <si>
    <t>Замена участка уличной магистрали Соцгорода по ул.Луначарского, 101/2</t>
  </si>
  <si>
    <t>Всего на 2022 год :</t>
  </si>
  <si>
    <t>Перенесено с 2021 на 2022 год</t>
  </si>
  <si>
    <t>Закуп оборудования</t>
  </si>
  <si>
    <t>Закуп и установка насоса ТР-400 с частотным преобразователем на тепловую насосную станцию ТП-03</t>
  </si>
  <si>
    <t>Перенес утвержден с ДКРЕМ</t>
  </si>
  <si>
    <t>ТНС-1, ТНС-2, закуп электродвигателей для насосов СЭ 1250/70</t>
  </si>
  <si>
    <t>Исполнение 100%. Эконмия при проведении тенденых процедур на ГЗ</t>
  </si>
  <si>
    <t>Снабжение  тепловой энергией</t>
  </si>
  <si>
    <t>Приобретение оборудования</t>
  </si>
  <si>
    <t>Многофункциональные устройства</t>
  </si>
  <si>
    <t xml:space="preserve">Исполнение 120% </t>
  </si>
  <si>
    <t>Источник бесперебойного питания UPS SVC RTL-1K-LCD</t>
  </si>
  <si>
    <t>Исполнение 100%</t>
  </si>
  <si>
    <t>Всего на 2022 год</t>
  </si>
  <si>
    <t>Замена участка ХПВ на 3А микрорайоне вдоль ул. Мичурина</t>
  </si>
  <si>
    <t>Закуп частотного преобразователя со шкафом управления на агрегат №5 насосной Металлург</t>
  </si>
  <si>
    <t>Отведение сточных вод</t>
  </si>
  <si>
    <t>1.</t>
  </si>
  <si>
    <t>Замена участка напорного коллектора по ул. Мичурина от ФНС 35 квартала в сторону ТЛМЗ (1 участок)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</si>
</sst>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5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rgb="FF0000FF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3" fontId="7" fillId="3" borderId="3" xfId="1" applyFont="1" applyFill="1" applyBorder="1"/>
    <xf numFmtId="0" fontId="7" fillId="3" borderId="3" xfId="0" applyFont="1" applyFill="1" applyBorder="1"/>
    <xf numFmtId="0" fontId="6" fillId="3" borderId="3" xfId="0" applyFont="1" applyFill="1" applyBorder="1"/>
    <xf numFmtId="165" fontId="7" fillId="3" borderId="3" xfId="1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43" fontId="7" fillId="0" borderId="1" xfId="1" applyFont="1" applyFill="1" applyBorder="1"/>
    <xf numFmtId="165" fontId="5" fillId="0" borderId="1" xfId="1" applyNumberFormat="1" applyFont="1" applyFill="1" applyBorder="1"/>
    <xf numFmtId="49" fontId="8" fillId="0" borderId="7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vertical="center" wrapText="1"/>
    </xf>
    <xf numFmtId="43" fontId="7" fillId="2" borderId="4" xfId="1" applyFont="1" applyFill="1" applyBorder="1" applyAlignment="1">
      <alignment vertical="center" wrapText="1"/>
    </xf>
    <xf numFmtId="165" fontId="8" fillId="2" borderId="4" xfId="1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3" fillId="4" borderId="1" xfId="0" applyFont="1" applyFill="1" applyBorder="1"/>
    <xf numFmtId="43" fontId="3" fillId="4" borderId="1" xfId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right" vertical="center" wrapText="1"/>
    </xf>
    <xf numFmtId="43" fontId="13" fillId="0" borderId="1" xfId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43" fontId="8" fillId="0" borderId="4" xfId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3" fontId="7" fillId="3" borderId="1" xfId="1" applyFont="1" applyFill="1" applyBorder="1"/>
    <xf numFmtId="0" fontId="7" fillId="3" borderId="1" xfId="0" applyFont="1" applyFill="1" applyBorder="1"/>
    <xf numFmtId="0" fontId="6" fillId="3" borderId="1" xfId="0" applyFont="1" applyFill="1" applyBorder="1"/>
    <xf numFmtId="165" fontId="7" fillId="3" borderId="1" xfId="1" applyNumberFormat="1" applyFont="1" applyFill="1" applyBorder="1"/>
    <xf numFmtId="43" fontId="7" fillId="3" borderId="1" xfId="0" applyNumberFormat="1" applyFont="1" applyFill="1" applyBorder="1"/>
    <xf numFmtId="0" fontId="14" fillId="0" borderId="1" xfId="0" applyFont="1" applyBorder="1" applyAlignment="1">
      <alignment horizontal="center" vertical="center" wrapText="1"/>
    </xf>
    <xf numFmtId="43" fontId="14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43" fontId="14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3" fontId="3" fillId="4" borderId="1" xfId="1" applyFont="1" applyFill="1" applyBorder="1"/>
    <xf numFmtId="43" fontId="6" fillId="4" borderId="1" xfId="1" applyFont="1" applyFill="1" applyBorder="1"/>
    <xf numFmtId="4" fontId="3" fillId="4" borderId="1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43" fontId="3" fillId="0" borderId="1" xfId="1" applyFont="1" applyFill="1" applyBorder="1"/>
    <xf numFmtId="43" fontId="6" fillId="0" borderId="1" xfId="1" applyFont="1" applyFill="1" applyBorder="1"/>
    <xf numFmtId="165" fontId="3" fillId="0" borderId="1" xfId="1" applyNumberFormat="1" applyFont="1" applyFill="1" applyBorder="1"/>
    <xf numFmtId="4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vertical="center"/>
    </xf>
    <xf numFmtId="43" fontId="7" fillId="0" borderId="1" xfId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B8843-EDF5-4DF0-AD4A-FE95CE1D8974}">
  <dimension ref="A1:H35"/>
  <sheetViews>
    <sheetView tabSelected="1" workbookViewId="0">
      <selection activeCell="B13" sqref="B13"/>
    </sheetView>
  </sheetViews>
  <sheetFormatPr defaultRowHeight="15" x14ac:dyDescent="0.25"/>
  <cols>
    <col min="2" max="2" width="38.42578125" customWidth="1"/>
    <col min="3" max="3" width="10.5703125" customWidth="1"/>
    <col min="4" max="4" width="17.28515625" customWidth="1"/>
    <col min="5" max="5" width="17.7109375" customWidth="1"/>
    <col min="6" max="6" width="14.5703125" customWidth="1"/>
    <col min="7" max="7" width="10" customWidth="1"/>
    <col min="8" max="8" width="22.42578125" customWidth="1"/>
  </cols>
  <sheetData>
    <row r="1" spans="1:8" ht="16.5" thickBot="1" x14ac:dyDescent="0.3">
      <c r="A1" s="2" t="s">
        <v>3</v>
      </c>
      <c r="B1" s="2"/>
      <c r="C1" s="2"/>
      <c r="D1" s="2"/>
      <c r="E1" s="2"/>
      <c r="F1" s="2"/>
      <c r="G1" s="2"/>
      <c r="H1" s="2"/>
    </row>
    <row r="2" spans="1:8" ht="15.75" x14ac:dyDescent="0.25">
      <c r="A2" s="3" t="s">
        <v>4</v>
      </c>
      <c r="B2" s="5" t="s">
        <v>6</v>
      </c>
      <c r="C2" s="4" t="s">
        <v>5</v>
      </c>
      <c r="D2" s="6" t="s">
        <v>7</v>
      </c>
      <c r="E2" s="5" t="s">
        <v>8</v>
      </c>
      <c r="F2" s="7" t="s">
        <v>9</v>
      </c>
      <c r="G2" s="8"/>
      <c r="H2" s="6" t="s">
        <v>10</v>
      </c>
    </row>
    <row r="3" spans="1:8" ht="16.5" thickBot="1" x14ac:dyDescent="0.3">
      <c r="A3" s="9"/>
      <c r="B3" s="12"/>
      <c r="C3" s="10"/>
      <c r="D3" s="13"/>
      <c r="E3" s="12"/>
      <c r="F3" s="11" t="s">
        <v>11</v>
      </c>
      <c r="G3" s="14" t="s">
        <v>12</v>
      </c>
      <c r="H3" s="13"/>
    </row>
    <row r="4" spans="1:8" ht="15.75" x14ac:dyDescent="0.25">
      <c r="A4" s="15">
        <v>1</v>
      </c>
      <c r="B4" s="18" t="s">
        <v>1</v>
      </c>
      <c r="C4" s="17"/>
      <c r="D4" s="16"/>
      <c r="E4" s="16"/>
      <c r="F4" s="16"/>
      <c r="G4" s="19"/>
      <c r="H4" s="17"/>
    </row>
    <row r="5" spans="1:8" ht="15.75" x14ac:dyDescent="0.25">
      <c r="A5" s="20">
        <v>1</v>
      </c>
      <c r="B5" s="25" t="s">
        <v>13</v>
      </c>
      <c r="C5" s="24"/>
      <c r="D5" s="23"/>
      <c r="E5" s="26"/>
      <c r="F5" s="23"/>
      <c r="G5" s="27"/>
      <c r="H5" s="24"/>
    </row>
    <row r="6" spans="1:8" ht="63" x14ac:dyDescent="0.25">
      <c r="A6" s="28" t="s">
        <v>14</v>
      </c>
      <c r="B6" s="29" t="s">
        <v>15</v>
      </c>
      <c r="C6" s="30">
        <v>2465.37</v>
      </c>
      <c r="D6" s="31">
        <v>43287.53</v>
      </c>
      <c r="E6" s="32">
        <f>43957852.19/1000</f>
        <v>43957.852189999998</v>
      </c>
      <c r="F6" s="31">
        <f>E6-D6</f>
        <v>670.32218999999895</v>
      </c>
      <c r="G6" s="33">
        <f>E6/D6*100-100</f>
        <v>1.5485341621478454</v>
      </c>
      <c r="H6" s="34" t="s">
        <v>16</v>
      </c>
    </row>
    <row r="7" spans="1:8" ht="75" x14ac:dyDescent="0.25">
      <c r="A7" s="28" t="s">
        <v>17</v>
      </c>
      <c r="B7" s="29" t="s">
        <v>18</v>
      </c>
      <c r="C7" s="30">
        <v>199.2</v>
      </c>
      <c r="D7" s="31">
        <v>13115.67</v>
      </c>
      <c r="E7" s="32">
        <f>13115668.33/1000</f>
        <v>13115.66833</v>
      </c>
      <c r="F7" s="31">
        <f t="shared" ref="F7:F11" si="0">E7-D7</f>
        <v>-1.6699999996490078E-3</v>
      </c>
      <c r="G7" s="33">
        <f>E7/D7*100-100</f>
        <v>-1.2732860767528109E-5</v>
      </c>
      <c r="H7" s="34" t="s">
        <v>19</v>
      </c>
    </row>
    <row r="8" spans="1:8" ht="60" x14ac:dyDescent="0.25">
      <c r="A8" s="28" t="s">
        <v>20</v>
      </c>
      <c r="B8" s="29" t="s">
        <v>21</v>
      </c>
      <c r="C8" s="30">
        <v>446</v>
      </c>
      <c r="D8" s="31">
        <v>32928.339999999997</v>
      </c>
      <c r="E8" s="32">
        <f>32924927.9/1000</f>
        <v>32924.927899999995</v>
      </c>
      <c r="F8" s="31">
        <f t="shared" si="0"/>
        <v>-3.4121000000013737</v>
      </c>
      <c r="G8" s="33">
        <f>E8/D8*100-100</f>
        <v>-1.0362198641061582E-2</v>
      </c>
      <c r="H8" s="34" t="s">
        <v>19</v>
      </c>
    </row>
    <row r="9" spans="1:8" ht="63" x14ac:dyDescent="0.25">
      <c r="A9" s="28" t="s">
        <v>22</v>
      </c>
      <c r="B9" s="29" t="s">
        <v>23</v>
      </c>
      <c r="C9" s="30">
        <v>1295.3499999999999</v>
      </c>
      <c r="D9" s="31">
        <v>24364.35</v>
      </c>
      <c r="E9" s="32">
        <f>23293592.97/1000</f>
        <v>23293.592969999998</v>
      </c>
      <c r="F9" s="31">
        <f t="shared" si="0"/>
        <v>-1070.7570300000007</v>
      </c>
      <c r="G9" s="33">
        <f t="shared" ref="G9:G11" si="1">E9/D9*100-100</f>
        <v>-4.3947695300716134</v>
      </c>
      <c r="H9" s="35" t="s">
        <v>24</v>
      </c>
    </row>
    <row r="10" spans="1:8" ht="75" x14ac:dyDescent="0.25">
      <c r="A10" s="28" t="s">
        <v>25</v>
      </c>
      <c r="B10" s="29" t="s">
        <v>26</v>
      </c>
      <c r="C10" s="30">
        <v>67</v>
      </c>
      <c r="D10" s="31">
        <v>17190.428</v>
      </c>
      <c r="E10" s="32">
        <f>17193557.87/1000</f>
        <v>17193.557870000001</v>
      </c>
      <c r="F10" s="31">
        <f t="shared" si="0"/>
        <v>3.1298700000006647</v>
      </c>
      <c r="G10" s="33">
        <f t="shared" si="1"/>
        <v>1.8207051040278088E-2</v>
      </c>
      <c r="H10" s="35" t="s">
        <v>19</v>
      </c>
    </row>
    <row r="11" spans="1:8" ht="30" x14ac:dyDescent="0.25">
      <c r="A11" s="28" t="s">
        <v>27</v>
      </c>
      <c r="B11" s="29" t="s">
        <v>28</v>
      </c>
      <c r="C11" s="30">
        <v>195</v>
      </c>
      <c r="D11" s="31">
        <v>12521.92</v>
      </c>
      <c r="E11" s="32">
        <f>12523400.8/1000</f>
        <v>12523.400800000001</v>
      </c>
      <c r="F11" s="31">
        <f t="shared" si="0"/>
        <v>1.4808000000011816</v>
      </c>
      <c r="G11" s="33">
        <f t="shared" si="1"/>
        <v>1.1825662518234026E-2</v>
      </c>
      <c r="H11" s="35" t="s">
        <v>19</v>
      </c>
    </row>
    <row r="12" spans="1:8" ht="15.75" x14ac:dyDescent="0.25">
      <c r="A12" s="36"/>
      <c r="B12" s="38" t="s">
        <v>29</v>
      </c>
      <c r="C12" s="38"/>
      <c r="D12" s="39">
        <f>SUM(D6:D11)</f>
        <v>143408.23799999998</v>
      </c>
      <c r="E12" s="40">
        <f>SUM(E6:E11)</f>
        <v>143009.00005999999</v>
      </c>
      <c r="F12" s="39">
        <f>E12-D12</f>
        <v>-399.2379399999918</v>
      </c>
      <c r="G12" s="41">
        <f>E12/D12*100-100</f>
        <v>-0.27839261228493228</v>
      </c>
      <c r="H12" s="42"/>
    </row>
    <row r="13" spans="1:8" ht="15.75" x14ac:dyDescent="0.25">
      <c r="A13" s="43"/>
      <c r="B13" s="45" t="s">
        <v>30</v>
      </c>
      <c r="C13" s="44"/>
      <c r="D13" s="46"/>
      <c r="E13" s="47"/>
      <c r="F13" s="46"/>
      <c r="G13" s="48"/>
      <c r="H13" s="49"/>
    </row>
    <row r="14" spans="1:8" ht="15.75" x14ac:dyDescent="0.25">
      <c r="A14" s="50"/>
      <c r="B14" s="52" t="s">
        <v>31</v>
      </c>
      <c r="C14" s="22"/>
      <c r="D14" s="53"/>
      <c r="E14" s="54"/>
      <c r="F14" s="55"/>
      <c r="G14" s="56"/>
      <c r="H14" s="57"/>
    </row>
    <row r="15" spans="1:8" ht="47.25" x14ac:dyDescent="0.25">
      <c r="A15" s="58"/>
      <c r="B15" s="59" t="s">
        <v>32</v>
      </c>
      <c r="C15" s="60">
        <v>1</v>
      </c>
      <c r="D15" s="61">
        <v>71975.938999999998</v>
      </c>
      <c r="E15" s="62">
        <f>71982072.25/1000</f>
        <v>71982.072249999997</v>
      </c>
      <c r="F15" s="31">
        <f t="shared" ref="F15:F16" si="2">E15-D15</f>
        <v>6.1332499999989523</v>
      </c>
      <c r="G15" s="33">
        <f t="shared" ref="G15:G16" si="3">E15/D15*100-100</f>
        <v>8.5212504139775547E-3</v>
      </c>
      <c r="H15" s="63" t="s">
        <v>33</v>
      </c>
    </row>
    <row r="16" spans="1:8" ht="78.75" x14ac:dyDescent="0.25">
      <c r="A16" s="58"/>
      <c r="B16" s="59" t="s">
        <v>34</v>
      </c>
      <c r="C16" s="60">
        <v>4</v>
      </c>
      <c r="D16" s="61">
        <f>4472.832/1.12*C16</f>
        <v>15974.4</v>
      </c>
      <c r="E16" s="62">
        <f>11010000/1000</f>
        <v>11010</v>
      </c>
      <c r="F16" s="31">
        <f t="shared" si="2"/>
        <v>-4964.3999999999996</v>
      </c>
      <c r="G16" s="33">
        <f t="shared" si="3"/>
        <v>-31.077223557692307</v>
      </c>
      <c r="H16" s="63" t="s">
        <v>35</v>
      </c>
    </row>
    <row r="17" spans="1:8" ht="15.75" x14ac:dyDescent="0.25">
      <c r="A17" s="36"/>
      <c r="B17" s="38" t="s">
        <v>29</v>
      </c>
      <c r="C17" s="38"/>
      <c r="D17" s="39">
        <f>D15+D16</f>
        <v>87950.338999999993</v>
      </c>
      <c r="E17" s="40">
        <f>E15+E16</f>
        <v>82992.072249999997</v>
      </c>
      <c r="F17" s="39">
        <f>D17-E17</f>
        <v>4958.2667499999952</v>
      </c>
      <c r="G17" s="41"/>
      <c r="H17" s="42"/>
    </row>
    <row r="18" spans="1:8" ht="15.75" x14ac:dyDescent="0.25">
      <c r="A18" s="64"/>
      <c r="B18" s="38"/>
      <c r="C18" s="38"/>
      <c r="D18" s="39">
        <f>D12+D17</f>
        <v>231358.57699999999</v>
      </c>
      <c r="E18" s="40">
        <f>E12+E17</f>
        <v>226001.07230999999</v>
      </c>
      <c r="F18" s="39"/>
      <c r="G18" s="41"/>
      <c r="H18" s="42"/>
    </row>
    <row r="19" spans="1:8" ht="15.75" x14ac:dyDescent="0.25">
      <c r="A19" s="65"/>
      <c r="B19" s="51"/>
      <c r="C19" s="22"/>
      <c r="D19" s="53"/>
      <c r="E19" s="54"/>
      <c r="F19" s="53"/>
      <c r="G19" s="66"/>
      <c r="H19" s="57"/>
    </row>
    <row r="20" spans="1:8" ht="15.75" x14ac:dyDescent="0.25">
      <c r="A20" s="67">
        <v>2</v>
      </c>
      <c r="B20" s="71" t="s">
        <v>36</v>
      </c>
      <c r="C20" s="70"/>
      <c r="D20" s="69"/>
      <c r="E20" s="69"/>
      <c r="F20" s="69"/>
      <c r="G20" s="72"/>
      <c r="H20" s="73"/>
    </row>
    <row r="21" spans="1:8" ht="15.75" x14ac:dyDescent="0.25">
      <c r="A21" s="1">
        <v>1</v>
      </c>
      <c r="B21" s="21" t="s">
        <v>37</v>
      </c>
      <c r="C21" s="22"/>
      <c r="D21" s="53"/>
      <c r="E21" s="54"/>
      <c r="F21" s="53"/>
      <c r="G21" s="66"/>
      <c r="H21" s="57"/>
    </row>
    <row r="22" spans="1:8" ht="15.75" x14ac:dyDescent="0.25">
      <c r="A22" s="65" t="s">
        <v>14</v>
      </c>
      <c r="B22" s="51" t="s">
        <v>38</v>
      </c>
      <c r="C22" s="74">
        <v>5</v>
      </c>
      <c r="D22" s="75">
        <v>1193.72</v>
      </c>
      <c r="E22" s="76">
        <v>1314.5</v>
      </c>
      <c r="F22" s="31">
        <f t="shared" ref="F22:F23" si="4">E22-D22</f>
        <v>120.77999999999997</v>
      </c>
      <c r="G22" s="33">
        <f t="shared" ref="G22:G23" si="5">E22/D22*100-100</f>
        <v>10.117950608182809</v>
      </c>
      <c r="H22" s="77" t="s">
        <v>39</v>
      </c>
    </row>
    <row r="23" spans="1:8" ht="31.5" x14ac:dyDescent="0.25">
      <c r="A23" s="65" t="s">
        <v>17</v>
      </c>
      <c r="B23" s="51" t="s">
        <v>40</v>
      </c>
      <c r="C23" s="74">
        <v>1</v>
      </c>
      <c r="D23" s="75">
        <v>82</v>
      </c>
      <c r="E23" s="76">
        <f>D23</f>
        <v>82</v>
      </c>
      <c r="F23" s="31">
        <f t="shared" si="4"/>
        <v>0</v>
      </c>
      <c r="G23" s="33">
        <f t="shared" si="5"/>
        <v>0</v>
      </c>
      <c r="H23" s="77" t="s">
        <v>41</v>
      </c>
    </row>
    <row r="24" spans="1:8" ht="15.75" x14ac:dyDescent="0.25">
      <c r="A24" s="78"/>
      <c r="B24" s="38" t="s">
        <v>42</v>
      </c>
      <c r="C24" s="38"/>
      <c r="D24" s="39">
        <f>SUM(D22:D23)</f>
        <v>1275.72</v>
      </c>
      <c r="E24" s="40">
        <f>SUM(E22:E23)</f>
        <v>1396.5</v>
      </c>
      <c r="F24" s="39">
        <f>SUM(F22:F23)</f>
        <v>120.77999999999997</v>
      </c>
      <c r="G24" s="41">
        <f>E24/D24*100-100</f>
        <v>9.4675947700122265</v>
      </c>
      <c r="H24" s="42"/>
    </row>
    <row r="25" spans="1:8" ht="15.75" x14ac:dyDescent="0.25">
      <c r="A25" s="79"/>
      <c r="B25" s="25"/>
      <c r="C25" s="25"/>
      <c r="D25" s="80"/>
      <c r="E25" s="81"/>
      <c r="F25" s="80"/>
      <c r="G25" s="82"/>
      <c r="H25" s="83"/>
    </row>
    <row r="26" spans="1:8" ht="15.75" x14ac:dyDescent="0.25">
      <c r="A26" s="84">
        <v>3</v>
      </c>
      <c r="B26" s="71" t="s">
        <v>0</v>
      </c>
      <c r="C26" s="70"/>
      <c r="D26" s="69"/>
      <c r="E26" s="69"/>
      <c r="F26" s="69"/>
      <c r="G26" s="72"/>
      <c r="H26" s="70"/>
    </row>
    <row r="27" spans="1:8" ht="78.75" x14ac:dyDescent="0.25">
      <c r="A27" s="85"/>
      <c r="B27" s="59" t="s">
        <v>43</v>
      </c>
      <c r="C27" s="30">
        <v>849.1</v>
      </c>
      <c r="D27" s="86">
        <v>29294.07</v>
      </c>
      <c r="E27" s="87">
        <f>28232937.56/1000</f>
        <v>28232.937559999998</v>
      </c>
      <c r="F27" s="31">
        <f>E27-D27</f>
        <v>-1061.1324400000012</v>
      </c>
      <c r="G27" s="33">
        <f t="shared" ref="G27:G29" si="6">E27/D27*100-100</f>
        <v>-3.6223455463853327</v>
      </c>
      <c r="H27" s="88" t="s">
        <v>35</v>
      </c>
    </row>
    <row r="28" spans="1:8" ht="47.25" x14ac:dyDescent="0.25">
      <c r="A28" s="85"/>
      <c r="B28" s="59" t="s">
        <v>44</v>
      </c>
      <c r="C28" s="30">
        <v>1</v>
      </c>
      <c r="D28" s="86">
        <v>5650</v>
      </c>
      <c r="E28" s="87">
        <f>5650000/1000</f>
        <v>5650</v>
      </c>
      <c r="F28" s="31">
        <f>E28-D28</f>
        <v>0</v>
      </c>
      <c r="G28" s="33">
        <f t="shared" si="6"/>
        <v>0</v>
      </c>
      <c r="H28" s="77" t="s">
        <v>41</v>
      </c>
    </row>
    <row r="29" spans="1:8" ht="15.75" x14ac:dyDescent="0.25">
      <c r="A29" s="36"/>
      <c r="B29" s="38" t="s">
        <v>29</v>
      </c>
      <c r="C29" s="37"/>
      <c r="D29" s="89">
        <f>SUM(D27:D28)</f>
        <v>34944.07</v>
      </c>
      <c r="E29" s="90">
        <f>SUM(E27:E28)</f>
        <v>33882.937559999998</v>
      </c>
      <c r="F29" s="89">
        <f>SUM(F27:F28)</f>
        <v>-1061.1324400000012</v>
      </c>
      <c r="G29" s="41">
        <f t="shared" si="6"/>
        <v>-3.0366595533948981</v>
      </c>
      <c r="H29" s="91"/>
    </row>
    <row r="30" spans="1:8" ht="15.75" x14ac:dyDescent="0.25">
      <c r="A30" s="92"/>
      <c r="B30" s="25"/>
      <c r="C30" s="24"/>
      <c r="D30" s="93"/>
      <c r="E30" s="94"/>
      <c r="F30" s="93"/>
      <c r="G30" s="95"/>
      <c r="H30" s="96"/>
    </row>
    <row r="31" spans="1:8" ht="15.75" x14ac:dyDescent="0.25">
      <c r="A31" s="67">
        <v>4</v>
      </c>
      <c r="B31" s="68" t="s">
        <v>45</v>
      </c>
      <c r="C31" s="70"/>
      <c r="D31" s="69"/>
      <c r="E31" s="69"/>
      <c r="F31" s="69"/>
      <c r="G31" s="72"/>
      <c r="H31" s="73"/>
    </row>
    <row r="32" spans="1:8" ht="15.75" x14ac:dyDescent="0.25">
      <c r="A32" s="97" t="s">
        <v>46</v>
      </c>
      <c r="B32" s="21" t="s">
        <v>2</v>
      </c>
      <c r="C32" s="24"/>
      <c r="D32" s="23"/>
      <c r="E32" s="26"/>
      <c r="F32" s="23"/>
      <c r="G32" s="27"/>
      <c r="H32" s="24"/>
    </row>
    <row r="33" spans="1:8" ht="63" x14ac:dyDescent="0.25">
      <c r="A33" s="22"/>
      <c r="B33" s="98" t="s">
        <v>47</v>
      </c>
      <c r="C33" s="99">
        <v>400</v>
      </c>
      <c r="D33" s="100">
        <v>63271.65</v>
      </c>
      <c r="E33" s="101">
        <f>63271647/1000</f>
        <v>63271.646999999997</v>
      </c>
      <c r="F33" s="100">
        <f>E33-D33</f>
        <v>-3.0000000042491592E-3</v>
      </c>
      <c r="G33" s="33">
        <f t="shared" ref="G33:G34" si="7">E33/D33*100-100</f>
        <v>-4.7414600459205758E-6</v>
      </c>
      <c r="H33" s="77" t="s">
        <v>41</v>
      </c>
    </row>
    <row r="34" spans="1:8" ht="63" x14ac:dyDescent="0.25">
      <c r="A34" s="22"/>
      <c r="B34" s="98" t="s">
        <v>47</v>
      </c>
      <c r="C34" s="99">
        <v>240</v>
      </c>
      <c r="D34" s="100">
        <v>60249.54</v>
      </c>
      <c r="E34" s="101">
        <f>60308812.56/1000</f>
        <v>60308.812560000006</v>
      </c>
      <c r="F34" s="100">
        <f>E34-D34</f>
        <v>59.272560000004887</v>
      </c>
      <c r="G34" s="33">
        <f t="shared" si="7"/>
        <v>9.837844405120677E-2</v>
      </c>
      <c r="H34" s="34" t="s">
        <v>16</v>
      </c>
    </row>
    <row r="35" spans="1:8" ht="15.75" x14ac:dyDescent="0.25">
      <c r="A35" s="36"/>
      <c r="B35" s="38"/>
      <c r="C35" s="37"/>
      <c r="D35" s="89">
        <f>SUM(D33:D34)</f>
        <v>123521.19</v>
      </c>
      <c r="E35" s="89">
        <f>SUM(E33:E34)</f>
        <v>123580.45956</v>
      </c>
      <c r="F35" s="89">
        <f>D35-E35</f>
        <v>-59.269560000000638</v>
      </c>
      <c r="G35" s="41">
        <f>E35/D35*100-100</f>
        <v>4.7983313632272484E-2</v>
      </c>
      <c r="H35" s="91"/>
    </row>
  </sheetData>
  <mergeCells count="8">
    <mergeCell ref="E2:E3"/>
    <mergeCell ref="F2:G2"/>
    <mergeCell ref="H2:H3"/>
    <mergeCell ref="A1:H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2023-04-19T10:01:09Z</dcterms:modified>
</cp:coreProperties>
</file>