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7515" windowHeight="9630" tabRatio="917"/>
  </bookViews>
  <sheets>
    <sheet name="пер. тепла" sheetId="162" r:id="rId1"/>
    <sheet name="снабжение тепла" sheetId="164" r:id="rId2"/>
    <sheet name="вода" sheetId="165" r:id="rId3"/>
    <sheet name="отведение" sheetId="166" r:id="rId4"/>
    <sheet name="эл.эн" sheetId="167" r:id="rId5"/>
    <sheet name="ИП" sheetId="168" r:id="rId6"/>
  </sheets>
  <externalReferences>
    <externalReference r:id="rId7"/>
  </externalReferences>
  <definedNames>
    <definedName name="_xlnm._FilterDatabase" localSheetId="2" hidden="1">вода!$A$19:$Q$100</definedName>
    <definedName name="_xlnm._FilterDatabase" localSheetId="3" hidden="1">отведение!$A$19:$AG$100</definedName>
    <definedName name="_xlnm._FilterDatabase" localSheetId="0" hidden="1">'пер. тепла'!$A$19:$Q$96</definedName>
    <definedName name="_xlnm._FilterDatabase" localSheetId="1" hidden="1">'снабжение тепла'!$A$19:$Q$100</definedName>
    <definedName name="_xlnm._FilterDatabase" localSheetId="4" hidden="1">эл.эн!$A$19:$G$96</definedName>
    <definedName name="_xlnm.Print_Titles" localSheetId="2">вода!$B:$C,вода!$12:$13</definedName>
    <definedName name="_xlnm.Print_Titles" localSheetId="3">отведение!$B:$C,отведение!$12:$13</definedName>
    <definedName name="_xlnm.Print_Titles" localSheetId="0">'пер. тепла'!$B:$C,'пер. тепла'!$12:$13</definedName>
    <definedName name="_xlnm.Print_Titles" localSheetId="1">'снабжение тепла'!$B:$C,'снабжение тепла'!$12:$13</definedName>
    <definedName name="_xlnm.Print_Titles" localSheetId="4">эл.эн!$B:$C,эл.эн!$12:$13</definedName>
    <definedName name="_xlnm.Print_Area" localSheetId="2">вода!$A$1:$N$111</definedName>
    <definedName name="_xlnm.Print_Area" localSheetId="3">отведение!$A$1:$AD$111</definedName>
    <definedName name="_xlnm.Print_Area" localSheetId="0">'пер. тепла'!$A$1:$N$107</definedName>
    <definedName name="_xlnm.Print_Area" localSheetId="1">'снабжение тепла'!$A$1:$N$111</definedName>
    <definedName name="_xlnm.Print_Area" localSheetId="4">эл.эн!$A$1:$G$96</definedName>
  </definedNames>
  <calcPr calcId="145621"/>
</workbook>
</file>

<file path=xl/calcChain.xml><?xml version="1.0" encoding="utf-8"?>
<calcChain xmlns="http://schemas.openxmlformats.org/spreadsheetml/2006/main">
  <c r="R29" i="168" l="1"/>
  <c r="Q29" i="168"/>
  <c r="N29" i="168"/>
  <c r="M29" i="168"/>
  <c r="K29" i="168"/>
  <c r="J29" i="168"/>
  <c r="I29" i="168"/>
  <c r="K28" i="168"/>
  <c r="V26" i="168"/>
  <c r="U26" i="168"/>
  <c r="R26" i="168"/>
  <c r="Q26" i="168"/>
  <c r="N26" i="168"/>
  <c r="K26" i="168"/>
  <c r="J26" i="168"/>
  <c r="I26" i="168"/>
  <c r="N25" i="168"/>
  <c r="M25" i="168"/>
  <c r="M26" i="168" s="1"/>
  <c r="K25" i="168"/>
  <c r="N24" i="168"/>
  <c r="M24" i="168"/>
  <c r="J24" i="168"/>
  <c r="I24" i="168"/>
  <c r="K23" i="168"/>
  <c r="K22" i="168"/>
  <c r="K21" i="168"/>
  <c r="V20" i="168"/>
  <c r="U20" i="168"/>
  <c r="R20" i="168"/>
  <c r="Q20" i="168"/>
  <c r="N20" i="168"/>
  <c r="M20" i="168"/>
  <c r="J20" i="168"/>
  <c r="K20" i="168" s="1"/>
  <c r="I20" i="168"/>
  <c r="K19" i="168"/>
  <c r="K18" i="168"/>
  <c r="K15" i="168"/>
  <c r="K13" i="168"/>
  <c r="K12" i="168"/>
  <c r="K24" i="168" l="1"/>
  <c r="E26" i="162"/>
  <c r="G22" i="165" l="1"/>
  <c r="G20" i="165"/>
  <c r="G93" i="167"/>
  <c r="F93" i="167"/>
  <c r="G92" i="167"/>
  <c r="F92" i="167"/>
  <c r="E90" i="167"/>
  <c r="D90" i="167"/>
  <c r="G87" i="167"/>
  <c r="F87" i="167"/>
  <c r="G86" i="167"/>
  <c r="F86" i="167"/>
  <c r="F85" i="167"/>
  <c r="G84" i="167"/>
  <c r="E84" i="167"/>
  <c r="F84" i="167" s="1"/>
  <c r="E74" i="167"/>
  <c r="G74" i="167" s="1"/>
  <c r="E73" i="167"/>
  <c r="G73" i="167" s="1"/>
  <c r="G72" i="167"/>
  <c r="F72" i="167"/>
  <c r="E71" i="167"/>
  <c r="F71" i="167" s="1"/>
  <c r="G70" i="167"/>
  <c r="F70" i="167"/>
  <c r="G69" i="167"/>
  <c r="F69" i="167"/>
  <c r="F68" i="167"/>
  <c r="E67" i="167"/>
  <c r="F67" i="167" s="1"/>
  <c r="E66" i="167"/>
  <c r="G66" i="167" s="1"/>
  <c r="E65" i="167"/>
  <c r="F65" i="167" s="1"/>
  <c r="E64" i="167"/>
  <c r="G64" i="167" s="1"/>
  <c r="G63" i="167"/>
  <c r="F63" i="167"/>
  <c r="G62" i="167"/>
  <c r="F62" i="167"/>
  <c r="E61" i="167"/>
  <c r="F61" i="167" s="1"/>
  <c r="E60" i="167"/>
  <c r="G59" i="167"/>
  <c r="F59" i="167"/>
  <c r="E58" i="167"/>
  <c r="F58" i="167" s="1"/>
  <c r="E57" i="167"/>
  <c r="G57" i="167" s="1"/>
  <c r="E56" i="167"/>
  <c r="F56" i="167" s="1"/>
  <c r="E55" i="167"/>
  <c r="G55" i="167" s="1"/>
  <c r="E54" i="167"/>
  <c r="F54" i="167" s="1"/>
  <c r="G53" i="167"/>
  <c r="F53" i="167"/>
  <c r="G52" i="167"/>
  <c r="F52" i="167"/>
  <c r="E50" i="167"/>
  <c r="F50" i="167" s="1"/>
  <c r="D49" i="167"/>
  <c r="D44" i="167" s="1"/>
  <c r="D43" i="167" s="1"/>
  <c r="E48" i="167"/>
  <c r="F48" i="167" s="1"/>
  <c r="E47" i="167"/>
  <c r="F47" i="167" s="1"/>
  <c r="E46" i="167"/>
  <c r="F46" i="167" s="1"/>
  <c r="E45" i="167"/>
  <c r="E96" i="167" s="1"/>
  <c r="E42" i="167"/>
  <c r="E41" i="167"/>
  <c r="F41" i="167" s="1"/>
  <c r="E40" i="167"/>
  <c r="F40" i="167" s="1"/>
  <c r="E39" i="167"/>
  <c r="G39" i="167" s="1"/>
  <c r="E38" i="167"/>
  <c r="G38" i="167" s="1"/>
  <c r="G37" i="167"/>
  <c r="F37" i="167"/>
  <c r="D36" i="167"/>
  <c r="E34" i="167"/>
  <c r="G34" i="167" s="1"/>
  <c r="D33" i="167"/>
  <c r="E32" i="167"/>
  <c r="G32" i="167" s="1"/>
  <c r="E31" i="167"/>
  <c r="F31" i="167" s="1"/>
  <c r="E30" i="167"/>
  <c r="F30" i="167" s="1"/>
  <c r="E29" i="167"/>
  <c r="G29" i="167" s="1"/>
  <c r="E28" i="167"/>
  <c r="G28" i="167" s="1"/>
  <c r="D27" i="167"/>
  <c r="G26" i="167"/>
  <c r="F26" i="167"/>
  <c r="E24" i="167"/>
  <c r="F24" i="167" s="1"/>
  <c r="E22" i="167"/>
  <c r="G22" i="167" s="1"/>
  <c r="D21" i="167"/>
  <c r="D20" i="167" s="1"/>
  <c r="E15" i="167"/>
  <c r="E14" i="167"/>
  <c r="E121" i="166"/>
  <c r="E118" i="166"/>
  <c r="E117" i="166"/>
  <c r="P100" i="166"/>
  <c r="H100" i="166"/>
  <c r="D100" i="166"/>
  <c r="P99" i="166"/>
  <c r="L99" i="166"/>
  <c r="H99" i="166"/>
  <c r="D99" i="166"/>
  <c r="Y97" i="166"/>
  <c r="AE97" i="166" s="1"/>
  <c r="X97" i="166"/>
  <c r="AD97" i="166" s="1"/>
  <c r="W97" i="166"/>
  <c r="V97" i="166"/>
  <c r="G97" i="166"/>
  <c r="F97" i="166"/>
  <c r="Y96" i="166"/>
  <c r="AE96" i="166" s="1"/>
  <c r="X96" i="166"/>
  <c r="AD96" i="166" s="1"/>
  <c r="W96" i="166"/>
  <c r="V96" i="166"/>
  <c r="G96" i="166"/>
  <c r="F96" i="166"/>
  <c r="Z95" i="166"/>
  <c r="G95" i="166"/>
  <c r="F95" i="166"/>
  <c r="Y94" i="166"/>
  <c r="U94" i="166"/>
  <c r="W94" i="166" s="1"/>
  <c r="T94" i="166"/>
  <c r="Q94" i="166"/>
  <c r="S94" i="166" s="1"/>
  <c r="N94" i="166"/>
  <c r="M94" i="166"/>
  <c r="O94" i="166" s="1"/>
  <c r="K94" i="166"/>
  <c r="I94" i="166"/>
  <c r="J94" i="166" s="1"/>
  <c r="F94" i="166"/>
  <c r="E94" i="166"/>
  <c r="D94" i="166"/>
  <c r="G94" i="166" s="1"/>
  <c r="G93" i="166"/>
  <c r="F93" i="166"/>
  <c r="AB92" i="166"/>
  <c r="AF91" i="166"/>
  <c r="AE91" i="166"/>
  <c r="AD91" i="166"/>
  <c r="AG91" i="166" s="1"/>
  <c r="W91" i="166"/>
  <c r="V91" i="166"/>
  <c r="S91" i="166"/>
  <c r="R91" i="166"/>
  <c r="O91" i="166"/>
  <c r="N91" i="166"/>
  <c r="K91" i="166"/>
  <c r="J91" i="166"/>
  <c r="G91" i="166"/>
  <c r="F91" i="166"/>
  <c r="AD90" i="166"/>
  <c r="W90" i="166"/>
  <c r="V90" i="166"/>
  <c r="R90" i="166"/>
  <c r="M90" i="166"/>
  <c r="O90" i="166" s="1"/>
  <c r="J90" i="166"/>
  <c r="E90" i="166"/>
  <c r="AH89" i="166"/>
  <c r="AD89" i="166"/>
  <c r="V89" i="166"/>
  <c r="R89" i="166"/>
  <c r="O89" i="166"/>
  <c r="N89" i="166"/>
  <c r="J89" i="166"/>
  <c r="G89" i="166"/>
  <c r="F89" i="166"/>
  <c r="W88" i="166"/>
  <c r="V88" i="166"/>
  <c r="U88" i="166"/>
  <c r="Q88" i="166"/>
  <c r="N88" i="166"/>
  <c r="M88" i="166"/>
  <c r="O88" i="166" s="1"/>
  <c r="K88" i="166"/>
  <c r="I88" i="166"/>
  <c r="J88" i="166" s="1"/>
  <c r="G88" i="166"/>
  <c r="F88" i="166"/>
  <c r="E88" i="166"/>
  <c r="AH87" i="166"/>
  <c r="AE85" i="166"/>
  <c r="AA85" i="166"/>
  <c r="X85" i="166"/>
  <c r="AD85" i="166" s="1"/>
  <c r="AG85" i="166" s="1"/>
  <c r="K85" i="166"/>
  <c r="J85" i="166"/>
  <c r="G85" i="166"/>
  <c r="F85" i="166"/>
  <c r="Z84" i="166"/>
  <c r="Y84" i="166"/>
  <c r="AE84" i="166" s="1"/>
  <c r="X84" i="166"/>
  <c r="AD84" i="166" s="1"/>
  <c r="AF84" i="166" s="1"/>
  <c r="S84" i="166"/>
  <c r="R84" i="166"/>
  <c r="O84" i="166"/>
  <c r="N84" i="166"/>
  <c r="K84" i="166"/>
  <c r="J84" i="166"/>
  <c r="G84" i="166"/>
  <c r="F84" i="166"/>
  <c r="AB83" i="166"/>
  <c r="AF82" i="166"/>
  <c r="AD81" i="166"/>
  <c r="AF80" i="166"/>
  <c r="AE80" i="166"/>
  <c r="AD80" i="166"/>
  <c r="AG80" i="166" s="1"/>
  <c r="Y80" i="166"/>
  <c r="AA80" i="166" s="1"/>
  <c r="AE79" i="166"/>
  <c r="AD79" i="166"/>
  <c r="AF79" i="166" s="1"/>
  <c r="Y79" i="166"/>
  <c r="AA79" i="166" s="1"/>
  <c r="O79" i="166"/>
  <c r="N79" i="166"/>
  <c r="M79" i="166"/>
  <c r="AD78" i="166"/>
  <c r="V78" i="166"/>
  <c r="U78" i="166"/>
  <c r="W78" i="166" s="1"/>
  <c r="Q78" i="166"/>
  <c r="R78" i="166" s="1"/>
  <c r="O78" i="166"/>
  <c r="N78" i="166"/>
  <c r="M78" i="166"/>
  <c r="K78" i="166"/>
  <c r="I78" i="166"/>
  <c r="J78" i="166" s="1"/>
  <c r="F78" i="166"/>
  <c r="E78" i="166"/>
  <c r="AF77" i="166"/>
  <c r="AE77" i="166"/>
  <c r="AG77" i="166" s="1"/>
  <c r="AD77" i="166"/>
  <c r="Y77" i="166"/>
  <c r="AA77" i="166" s="1"/>
  <c r="W77" i="166"/>
  <c r="V77" i="166"/>
  <c r="U77" i="166"/>
  <c r="R77" i="166"/>
  <c r="N77" i="166"/>
  <c r="F77" i="166"/>
  <c r="AD76" i="166"/>
  <c r="W76" i="166"/>
  <c r="V76" i="166"/>
  <c r="R76" i="166"/>
  <c r="N76" i="166"/>
  <c r="E76" i="166"/>
  <c r="AD75" i="166"/>
  <c r="U75" i="166"/>
  <c r="V75" i="166" s="1"/>
  <c r="R75" i="166"/>
  <c r="Q75" i="166"/>
  <c r="S75" i="166" s="1"/>
  <c r="M75" i="166"/>
  <c r="N75" i="166" s="1"/>
  <c r="K75" i="166"/>
  <c r="J75" i="166"/>
  <c r="I75" i="166"/>
  <c r="G75" i="166"/>
  <c r="E75" i="166"/>
  <c r="AF74" i="166"/>
  <c r="AE74" i="166"/>
  <c r="AD74" i="166"/>
  <c r="Y74" i="166"/>
  <c r="AA74" i="166" s="1"/>
  <c r="W74" i="166"/>
  <c r="V74" i="166"/>
  <c r="S74" i="166"/>
  <c r="R74" i="166"/>
  <c r="O74" i="166"/>
  <c r="N74" i="166"/>
  <c r="K74" i="166"/>
  <c r="J74" i="166"/>
  <c r="G74" i="166"/>
  <c r="F74" i="166"/>
  <c r="AE73" i="166"/>
  <c r="AD73" i="166"/>
  <c r="AF73" i="166" s="1"/>
  <c r="Y73" i="166"/>
  <c r="W73" i="166"/>
  <c r="V73" i="166"/>
  <c r="S73" i="166"/>
  <c r="R73" i="166"/>
  <c r="O73" i="166"/>
  <c r="N73" i="166"/>
  <c r="K73" i="166"/>
  <c r="J73" i="166"/>
  <c r="G73" i="166"/>
  <c r="F73" i="166"/>
  <c r="AF72" i="166"/>
  <c r="AE72" i="166"/>
  <c r="AG72" i="166" s="1"/>
  <c r="AD72" i="166"/>
  <c r="Y72" i="166"/>
  <c r="AA72" i="166" s="1"/>
  <c r="V72" i="166"/>
  <c r="S72" i="166"/>
  <c r="R72" i="166"/>
  <c r="O72" i="166"/>
  <c r="N72" i="166"/>
  <c r="K72" i="166"/>
  <c r="J72" i="166"/>
  <c r="G72" i="166"/>
  <c r="F72" i="166"/>
  <c r="AD71" i="166"/>
  <c r="W71" i="166"/>
  <c r="V71" i="166"/>
  <c r="U71" i="166"/>
  <c r="Q71" i="166"/>
  <c r="R71" i="166" s="1"/>
  <c r="N71" i="166"/>
  <c r="M71" i="166"/>
  <c r="O71" i="166" s="1"/>
  <c r="I71" i="166"/>
  <c r="Y71" i="166" s="1"/>
  <c r="G71" i="166"/>
  <c r="F71" i="166"/>
  <c r="E71" i="166"/>
  <c r="AI70" i="166"/>
  <c r="AD70" i="166"/>
  <c r="Y70" i="166"/>
  <c r="AA70" i="166" s="1"/>
  <c r="V70" i="166"/>
  <c r="U70" i="166"/>
  <c r="W70" i="166" s="1"/>
  <c r="R70" i="166"/>
  <c r="Q70" i="166"/>
  <c r="N70" i="166"/>
  <c r="M70" i="166"/>
  <c r="J70" i="166"/>
  <c r="I70" i="166"/>
  <c r="F70" i="166"/>
  <c r="E70" i="166"/>
  <c r="AE70" i="166" s="1"/>
  <c r="AD69" i="166"/>
  <c r="W69" i="166"/>
  <c r="V69" i="166"/>
  <c r="U69" i="166"/>
  <c r="R69" i="166"/>
  <c r="Q69" i="166"/>
  <c r="S69" i="166" s="1"/>
  <c r="N69" i="166"/>
  <c r="M69" i="166"/>
  <c r="O69" i="166" s="1"/>
  <c r="J69" i="166"/>
  <c r="I69" i="166"/>
  <c r="F69" i="166"/>
  <c r="E69" i="166"/>
  <c r="AE69" i="166" s="1"/>
  <c r="AF69" i="166" s="1"/>
  <c r="AD68" i="166"/>
  <c r="W68" i="166"/>
  <c r="V68" i="166"/>
  <c r="U68" i="166"/>
  <c r="Q68" i="166"/>
  <c r="S68" i="166" s="1"/>
  <c r="M68" i="166"/>
  <c r="O68" i="166" s="1"/>
  <c r="I68" i="166"/>
  <c r="J68" i="166" s="1"/>
  <c r="G68" i="166"/>
  <c r="F68" i="166"/>
  <c r="E68" i="166"/>
  <c r="AE67" i="166"/>
  <c r="AG67" i="166" s="1"/>
  <c r="AD67" i="166"/>
  <c r="AA67" i="166"/>
  <c r="Y67" i="166"/>
  <c r="W67" i="166"/>
  <c r="V67" i="166"/>
  <c r="S67" i="166"/>
  <c r="R67" i="166"/>
  <c r="O67" i="166"/>
  <c r="N67" i="166"/>
  <c r="K67" i="166"/>
  <c r="J67" i="166"/>
  <c r="G67" i="166"/>
  <c r="F67" i="166"/>
  <c r="AE66" i="166"/>
  <c r="AG66" i="166" s="1"/>
  <c r="AD66" i="166"/>
  <c r="AA66" i="166"/>
  <c r="Y66" i="166"/>
  <c r="W66" i="166"/>
  <c r="V66" i="166"/>
  <c r="S66" i="166"/>
  <c r="R66" i="166"/>
  <c r="O66" i="166"/>
  <c r="N66" i="166"/>
  <c r="K66" i="166"/>
  <c r="J66" i="166"/>
  <c r="G66" i="166"/>
  <c r="F66" i="166"/>
  <c r="AE65" i="166"/>
  <c r="AF65" i="166" s="1"/>
  <c r="AD65" i="166"/>
  <c r="V65" i="166"/>
  <c r="U65" i="166"/>
  <c r="R65" i="166"/>
  <c r="Q65" i="166"/>
  <c r="N65" i="166"/>
  <c r="M65" i="166"/>
  <c r="J65" i="166"/>
  <c r="I65" i="166"/>
  <c r="Y65" i="166" s="1"/>
  <c r="F65" i="166"/>
  <c r="E65" i="166"/>
  <c r="AD64" i="166"/>
  <c r="V64" i="166"/>
  <c r="U64" i="166"/>
  <c r="W64" i="166" s="1"/>
  <c r="Q64" i="166"/>
  <c r="R64" i="166" s="1"/>
  <c r="M64" i="166"/>
  <c r="N64" i="166" s="1"/>
  <c r="I64" i="166"/>
  <c r="J64" i="166" s="1"/>
  <c r="F64" i="166"/>
  <c r="E64" i="166"/>
  <c r="AE63" i="166"/>
  <c r="AG63" i="166" s="1"/>
  <c r="AD63" i="166"/>
  <c r="AA63" i="166"/>
  <c r="Y63" i="166"/>
  <c r="W63" i="166"/>
  <c r="V63" i="166"/>
  <c r="S63" i="166"/>
  <c r="R63" i="166"/>
  <c r="O63" i="166"/>
  <c r="N63" i="166"/>
  <c r="K63" i="166"/>
  <c r="J63" i="166"/>
  <c r="G63" i="166"/>
  <c r="F63" i="166"/>
  <c r="AD62" i="166"/>
  <c r="V62" i="166"/>
  <c r="U62" i="166"/>
  <c r="W62" i="166" s="1"/>
  <c r="S62" i="166"/>
  <c r="Q62" i="166"/>
  <c r="R62" i="166" s="1"/>
  <c r="O62" i="166"/>
  <c r="N62" i="166"/>
  <c r="M62" i="166"/>
  <c r="I62" i="166"/>
  <c r="K62" i="166" s="1"/>
  <c r="F62" i="166"/>
  <c r="E62" i="166"/>
  <c r="AE62" i="166" s="1"/>
  <c r="AD61" i="166"/>
  <c r="W61" i="166"/>
  <c r="V61" i="166"/>
  <c r="U61" i="166"/>
  <c r="Q61" i="166"/>
  <c r="S61" i="166" s="1"/>
  <c r="N61" i="166"/>
  <c r="M61" i="166"/>
  <c r="O61" i="166" s="1"/>
  <c r="K61" i="166"/>
  <c r="I61" i="166"/>
  <c r="Y61" i="166" s="1"/>
  <c r="G61" i="166"/>
  <c r="F61" i="166"/>
  <c r="E61" i="166"/>
  <c r="AD60" i="166"/>
  <c r="V60" i="166"/>
  <c r="U60" i="166"/>
  <c r="W60" i="166" s="1"/>
  <c r="S60" i="166"/>
  <c r="Q60" i="166"/>
  <c r="R60" i="166" s="1"/>
  <c r="O60" i="166"/>
  <c r="N60" i="166"/>
  <c r="M60" i="166"/>
  <c r="I60" i="166"/>
  <c r="K60" i="166" s="1"/>
  <c r="F60" i="166"/>
  <c r="E60" i="166"/>
  <c r="AE60" i="166" s="1"/>
  <c r="AI59" i="166"/>
  <c r="AD59" i="166"/>
  <c r="Y59" i="166"/>
  <c r="AA59" i="166" s="1"/>
  <c r="W59" i="166"/>
  <c r="V59" i="166"/>
  <c r="U59" i="166"/>
  <c r="R59" i="166"/>
  <c r="Q59" i="166"/>
  <c r="N59" i="166"/>
  <c r="M59" i="166"/>
  <c r="J59" i="166"/>
  <c r="I59" i="166"/>
  <c r="AE59" i="166" s="1"/>
  <c r="F59" i="166"/>
  <c r="E59" i="166"/>
  <c r="AD58" i="166"/>
  <c r="V58" i="166"/>
  <c r="U58" i="166"/>
  <c r="W58" i="166" s="1"/>
  <c r="S58" i="166"/>
  <c r="Q58" i="166"/>
  <c r="R58" i="166" s="1"/>
  <c r="O58" i="166"/>
  <c r="N58" i="166"/>
  <c r="M58" i="166"/>
  <c r="K58" i="166"/>
  <c r="I58" i="166"/>
  <c r="J58" i="166" s="1"/>
  <c r="F58" i="166"/>
  <c r="E58" i="166"/>
  <c r="AE58" i="166" s="1"/>
  <c r="AD57" i="166"/>
  <c r="W57" i="166"/>
  <c r="V57" i="166"/>
  <c r="Q57" i="166"/>
  <c r="O57" i="166"/>
  <c r="N57" i="166"/>
  <c r="K57" i="166"/>
  <c r="J57" i="166"/>
  <c r="G57" i="166"/>
  <c r="F57" i="166"/>
  <c r="AE56" i="166"/>
  <c r="AD56" i="166"/>
  <c r="AD53" i="166" s="1"/>
  <c r="Y56" i="166"/>
  <c r="AA56" i="166" s="1"/>
  <c r="W56" i="166"/>
  <c r="V56" i="166"/>
  <c r="S56" i="166"/>
  <c r="R56" i="166"/>
  <c r="O56" i="166"/>
  <c r="N56" i="166"/>
  <c r="K56" i="166"/>
  <c r="J56" i="166"/>
  <c r="G56" i="166"/>
  <c r="F56" i="166"/>
  <c r="AI55" i="166"/>
  <c r="AE55" i="166"/>
  <c r="AD54" i="166"/>
  <c r="V54" i="166"/>
  <c r="V53" i="166" s="1"/>
  <c r="U54" i="166"/>
  <c r="W54" i="166" s="1"/>
  <c r="S54" i="166"/>
  <c r="Q54" i="166"/>
  <c r="R54" i="166" s="1"/>
  <c r="O54" i="166"/>
  <c r="N54" i="166"/>
  <c r="M54" i="166"/>
  <c r="I54" i="166"/>
  <c r="F54" i="166"/>
  <c r="E54" i="166"/>
  <c r="G54" i="166" s="1"/>
  <c r="X53" i="166"/>
  <c r="W53" i="166"/>
  <c r="U53" i="166"/>
  <c r="T53" i="166"/>
  <c r="Q53" i="166"/>
  <c r="S53" i="166" s="1"/>
  <c r="P53" i="166"/>
  <c r="O53" i="166"/>
  <c r="M53" i="166"/>
  <c r="L53" i="166"/>
  <c r="H53" i="166"/>
  <c r="E53" i="166"/>
  <c r="G53" i="166" s="1"/>
  <c r="D53" i="166"/>
  <c r="AD52" i="166"/>
  <c r="X52" i="166"/>
  <c r="V52" i="166"/>
  <c r="U52" i="166"/>
  <c r="W52" i="166" s="1"/>
  <c r="Q52" i="166"/>
  <c r="R52" i="166" s="1"/>
  <c r="O52" i="166"/>
  <c r="N52" i="166"/>
  <c r="M52" i="166"/>
  <c r="I52" i="166"/>
  <c r="F52" i="166"/>
  <c r="E52" i="166"/>
  <c r="X51" i="166"/>
  <c r="X48" i="166" s="1"/>
  <c r="X47" i="166" s="1"/>
  <c r="U51" i="166"/>
  <c r="V51" i="166" s="1"/>
  <c r="Q51" i="166"/>
  <c r="M51" i="166"/>
  <c r="N51" i="166" s="1"/>
  <c r="I51" i="166"/>
  <c r="J51" i="166" s="1"/>
  <c r="E51" i="166"/>
  <c r="X50" i="166"/>
  <c r="AD50" i="166" s="1"/>
  <c r="W50" i="166"/>
  <c r="U50" i="166"/>
  <c r="V50" i="166" s="1"/>
  <c r="S50" i="166"/>
  <c r="R50" i="166"/>
  <c r="Q50" i="166"/>
  <c r="O50" i="166"/>
  <c r="M50" i="166"/>
  <c r="N50" i="166" s="1"/>
  <c r="J50" i="166"/>
  <c r="I50" i="166"/>
  <c r="K50" i="166" s="1"/>
  <c r="G50" i="166"/>
  <c r="E50" i="166"/>
  <c r="F50" i="166" s="1"/>
  <c r="X49" i="166"/>
  <c r="X100" i="166" s="1"/>
  <c r="U49" i="166"/>
  <c r="S49" i="166"/>
  <c r="R49" i="166"/>
  <c r="Q49" i="166"/>
  <c r="Q100" i="166" s="1"/>
  <c r="O49" i="166"/>
  <c r="M49" i="166"/>
  <c r="J49" i="166"/>
  <c r="I49" i="166"/>
  <c r="I100" i="166" s="1"/>
  <c r="G49" i="166"/>
  <c r="E49" i="166"/>
  <c r="T48" i="166"/>
  <c r="T47" i="166" s="1"/>
  <c r="P48" i="166"/>
  <c r="L48" i="166"/>
  <c r="H48" i="166"/>
  <c r="D48" i="166"/>
  <c r="AC47" i="166"/>
  <c r="AB47" i="166"/>
  <c r="P47" i="166"/>
  <c r="L47" i="166"/>
  <c r="H47" i="166"/>
  <c r="D47" i="166"/>
  <c r="AF46" i="166"/>
  <c r="X46" i="166"/>
  <c r="AD46" i="166" s="1"/>
  <c r="V46" i="166"/>
  <c r="U46" i="166"/>
  <c r="AE46" i="166" s="1"/>
  <c r="R46" i="166"/>
  <c r="N46" i="166"/>
  <c r="K46" i="166"/>
  <c r="J46" i="166"/>
  <c r="F46" i="166"/>
  <c r="AE45" i="166"/>
  <c r="AD45" i="166"/>
  <c r="Y45" i="166"/>
  <c r="X45" i="166"/>
  <c r="W45" i="166"/>
  <c r="V45" i="166"/>
  <c r="S45" i="166"/>
  <c r="R45" i="166"/>
  <c r="N45" i="166"/>
  <c r="K45" i="166"/>
  <c r="J45" i="166"/>
  <c r="F45" i="166"/>
  <c r="AD44" i="166"/>
  <c r="X44" i="166"/>
  <c r="W44" i="166"/>
  <c r="V44" i="166"/>
  <c r="S44" i="166"/>
  <c r="R44" i="166"/>
  <c r="N44" i="166"/>
  <c r="M44" i="166"/>
  <c r="AE44" i="166" s="1"/>
  <c r="K44" i="166"/>
  <c r="J44" i="166"/>
  <c r="F44" i="166"/>
  <c r="X43" i="166"/>
  <c r="AD43" i="166" s="1"/>
  <c r="W43" i="166"/>
  <c r="V43" i="166"/>
  <c r="S43" i="166"/>
  <c r="R43" i="166"/>
  <c r="O43" i="166"/>
  <c r="N43" i="166"/>
  <c r="F43" i="166"/>
  <c r="X42" i="166"/>
  <c r="AD42" i="166" s="1"/>
  <c r="W42" i="166"/>
  <c r="V42" i="166"/>
  <c r="S42" i="166"/>
  <c r="R42" i="166"/>
  <c r="O42" i="166"/>
  <c r="N42" i="166"/>
  <c r="K42" i="166"/>
  <c r="J42" i="166"/>
  <c r="F42" i="166"/>
  <c r="E42" i="166"/>
  <c r="I43" i="166" s="1"/>
  <c r="J43" i="166" s="1"/>
  <c r="AD41" i="166"/>
  <c r="X41" i="166"/>
  <c r="V41" i="166"/>
  <c r="U41" i="166"/>
  <c r="W41" i="166" s="1"/>
  <c r="S41" i="166"/>
  <c r="Q41" i="166"/>
  <c r="R41" i="166" s="1"/>
  <c r="O41" i="166"/>
  <c r="N41" i="166"/>
  <c r="M41" i="166"/>
  <c r="I41" i="166"/>
  <c r="F41" i="166"/>
  <c r="E41" i="166"/>
  <c r="AD40" i="166"/>
  <c r="X40" i="166"/>
  <c r="V40" i="166"/>
  <c r="V36" i="166" s="1"/>
  <c r="U40" i="166"/>
  <c r="W40" i="166" s="1"/>
  <c r="S40" i="166"/>
  <c r="Q40" i="166"/>
  <c r="R40" i="166" s="1"/>
  <c r="O40" i="166"/>
  <c r="N40" i="166"/>
  <c r="M40" i="166"/>
  <c r="I40" i="166"/>
  <c r="K40" i="166" s="1"/>
  <c r="F40" i="166"/>
  <c r="E40" i="166"/>
  <c r="AE39" i="166"/>
  <c r="AF39" i="166" s="1"/>
  <c r="X39" i="166"/>
  <c r="AD39" i="166" s="1"/>
  <c r="W39" i="166"/>
  <c r="U39" i="166"/>
  <c r="V39" i="166" s="1"/>
  <c r="S39" i="166"/>
  <c r="R39" i="166"/>
  <c r="Q39" i="166"/>
  <c r="N39" i="166"/>
  <c r="M39" i="166"/>
  <c r="O39" i="166" s="1"/>
  <c r="I39" i="166"/>
  <c r="K39" i="166" s="1"/>
  <c r="E39" i="166"/>
  <c r="F39" i="166" s="1"/>
  <c r="X38" i="166"/>
  <c r="AD38" i="166" s="1"/>
  <c r="W38" i="166"/>
  <c r="U38" i="166"/>
  <c r="V38" i="166" s="1"/>
  <c r="S38" i="166"/>
  <c r="R38" i="166"/>
  <c r="Q38" i="166"/>
  <c r="M38" i="166"/>
  <c r="J38" i="166"/>
  <c r="I38" i="166"/>
  <c r="K38" i="166" s="1"/>
  <c r="E38" i="166"/>
  <c r="AE38" i="166" s="1"/>
  <c r="AE37" i="166"/>
  <c r="X37" i="166"/>
  <c r="AD37" i="166" s="1"/>
  <c r="W37" i="166"/>
  <c r="V37" i="166"/>
  <c r="R37" i="166"/>
  <c r="N37" i="166"/>
  <c r="J37" i="166"/>
  <c r="F37" i="166"/>
  <c r="E37" i="166"/>
  <c r="Y37" i="166" s="1"/>
  <c r="Z37" i="166" s="1"/>
  <c r="AE36" i="166"/>
  <c r="AC36" i="166"/>
  <c r="AB36" i="166"/>
  <c r="U36" i="166"/>
  <c r="W36" i="166" s="1"/>
  <c r="T36" i="166"/>
  <c r="Q36" i="166"/>
  <c r="S36" i="166" s="1"/>
  <c r="P36" i="166"/>
  <c r="M36" i="166"/>
  <c r="O36" i="166" s="1"/>
  <c r="L36" i="166"/>
  <c r="H36" i="166"/>
  <c r="E36" i="166"/>
  <c r="G36" i="166" s="1"/>
  <c r="D36" i="166"/>
  <c r="Y34" i="166"/>
  <c r="X34" i="166"/>
  <c r="AD34" i="166" s="1"/>
  <c r="AD33" i="166" s="1"/>
  <c r="U34" i="166"/>
  <c r="S34" i="166"/>
  <c r="Q34" i="166"/>
  <c r="R34" i="166" s="1"/>
  <c r="R33" i="166" s="1"/>
  <c r="O34" i="166"/>
  <c r="N34" i="166"/>
  <c r="N33" i="166" s="1"/>
  <c r="M34" i="166"/>
  <c r="F34" i="166"/>
  <c r="F33" i="166" s="1"/>
  <c r="E34" i="166"/>
  <c r="AE34" i="166" s="1"/>
  <c r="Y33" i="166"/>
  <c r="X33" i="166"/>
  <c r="U33" i="166"/>
  <c r="W33" i="166" s="1"/>
  <c r="T33" i="166"/>
  <c r="Q33" i="166"/>
  <c r="S33" i="166" s="1"/>
  <c r="P33" i="166"/>
  <c r="M33" i="166"/>
  <c r="O33" i="166" s="1"/>
  <c r="L33" i="166"/>
  <c r="J33" i="166"/>
  <c r="I33" i="166"/>
  <c r="H33" i="166"/>
  <c r="D33" i="166"/>
  <c r="X32" i="166"/>
  <c r="AD32" i="166" s="1"/>
  <c r="W32" i="166"/>
  <c r="U32" i="166"/>
  <c r="V32" i="166" s="1"/>
  <c r="S32" i="166"/>
  <c r="R32" i="166"/>
  <c r="Q32" i="166"/>
  <c r="N32" i="166"/>
  <c r="M32" i="166"/>
  <c r="O32" i="166" s="1"/>
  <c r="I32" i="166"/>
  <c r="G32" i="166"/>
  <c r="E32" i="166"/>
  <c r="F32" i="166" s="1"/>
  <c r="V31" i="166"/>
  <c r="U31" i="166"/>
  <c r="Q31" i="166"/>
  <c r="R31" i="166" s="1"/>
  <c r="N31" i="166"/>
  <c r="M31" i="166"/>
  <c r="I31" i="166"/>
  <c r="AE31" i="166" s="1"/>
  <c r="F31" i="166"/>
  <c r="E31" i="166"/>
  <c r="V30" i="166"/>
  <c r="U30" i="166"/>
  <c r="Q30" i="166"/>
  <c r="N30" i="166"/>
  <c r="M30" i="166"/>
  <c r="J30" i="166"/>
  <c r="E30" i="166"/>
  <c r="Y30" i="166" s="1"/>
  <c r="AD29" i="166"/>
  <c r="AD100" i="166" s="1"/>
  <c r="X29" i="166"/>
  <c r="U29" i="166"/>
  <c r="S29" i="166"/>
  <c r="R29" i="166"/>
  <c r="Q29" i="166"/>
  <c r="O29" i="166"/>
  <c r="N29" i="166"/>
  <c r="M29" i="166"/>
  <c r="I29" i="166"/>
  <c r="K29" i="166" s="1"/>
  <c r="E29" i="166"/>
  <c r="Y29" i="166" s="1"/>
  <c r="X28" i="166"/>
  <c r="W28" i="166"/>
  <c r="U28" i="166"/>
  <c r="S28" i="166"/>
  <c r="R28" i="166"/>
  <c r="Q28" i="166"/>
  <c r="M28" i="166"/>
  <c r="I28" i="166"/>
  <c r="G28" i="166"/>
  <c r="E28" i="166"/>
  <c r="F28" i="166" s="1"/>
  <c r="T27" i="166"/>
  <c r="P27" i="166"/>
  <c r="L27" i="166"/>
  <c r="H27" i="166"/>
  <c r="D27" i="166"/>
  <c r="X26" i="166"/>
  <c r="AD26" i="166" s="1"/>
  <c r="W26" i="166"/>
  <c r="V26" i="166"/>
  <c r="Q26" i="166"/>
  <c r="O26" i="166"/>
  <c r="M26" i="166"/>
  <c r="N26" i="166" s="1"/>
  <c r="K26" i="166"/>
  <c r="J26" i="166"/>
  <c r="I26" i="166"/>
  <c r="F26" i="166"/>
  <c r="E26" i="166"/>
  <c r="AE25" i="166"/>
  <c r="AD25" i="166"/>
  <c r="X24" i="166"/>
  <c r="AD24" i="166" s="1"/>
  <c r="W24" i="166"/>
  <c r="U24" i="166"/>
  <c r="V24" i="166" s="1"/>
  <c r="S24" i="166"/>
  <c r="R24" i="166"/>
  <c r="Q24" i="166"/>
  <c r="M24" i="166"/>
  <c r="M21" i="166" s="1"/>
  <c r="O21" i="166" s="1"/>
  <c r="J24" i="166"/>
  <c r="I24" i="166"/>
  <c r="K24" i="166" s="1"/>
  <c r="E24" i="166"/>
  <c r="E21" i="166" s="1"/>
  <c r="AE23" i="166"/>
  <c r="AD23" i="166"/>
  <c r="X22" i="166"/>
  <c r="AD22" i="166" s="1"/>
  <c r="AD21" i="166" s="1"/>
  <c r="V22" i="166"/>
  <c r="U22" i="166"/>
  <c r="Q22" i="166"/>
  <c r="O22" i="166"/>
  <c r="N22" i="166"/>
  <c r="M22" i="166"/>
  <c r="G22" i="166"/>
  <c r="F22" i="166"/>
  <c r="E22" i="166"/>
  <c r="Y22" i="166" s="1"/>
  <c r="AC21" i="166"/>
  <c r="AB21" i="166"/>
  <c r="V21" i="166"/>
  <c r="T21" i="166"/>
  <c r="P21" i="166"/>
  <c r="P20" i="166" s="1"/>
  <c r="P83" i="166" s="1"/>
  <c r="P87" i="166" s="1"/>
  <c r="P92" i="166" s="1"/>
  <c r="P14" i="166" s="1"/>
  <c r="P16" i="166" s="1"/>
  <c r="L21" i="166"/>
  <c r="K21" i="166"/>
  <c r="J21" i="166"/>
  <c r="I21" i="166"/>
  <c r="H21" i="166"/>
  <c r="D21" i="166"/>
  <c r="AC20" i="166"/>
  <c r="AC83" i="166" s="1"/>
  <c r="AC87" i="166" s="1"/>
  <c r="AC92" i="166" s="1"/>
  <c r="AB20" i="166"/>
  <c r="T20" i="166"/>
  <c r="L20" i="166"/>
  <c r="L83" i="166" s="1"/>
  <c r="L87" i="166" s="1"/>
  <c r="L92" i="166" s="1"/>
  <c r="H20" i="166"/>
  <c r="H83" i="166" s="1"/>
  <c r="H87" i="166" s="1"/>
  <c r="H92" i="166" s="1"/>
  <c r="D20" i="166"/>
  <c r="D83" i="166" s="1"/>
  <c r="D87" i="166" s="1"/>
  <c r="D92" i="166" s="1"/>
  <c r="U15" i="166"/>
  <c r="Q15" i="166"/>
  <c r="M15" i="166"/>
  <c r="I15" i="166"/>
  <c r="E15" i="166"/>
  <c r="Y15" i="166" s="1"/>
  <c r="AC14" i="166"/>
  <c r="AC16" i="166" s="1"/>
  <c r="AB14" i="166"/>
  <c r="AB16" i="166" s="1"/>
  <c r="U14" i="166"/>
  <c r="Q14" i="166"/>
  <c r="R14" i="166" s="1"/>
  <c r="M14" i="166"/>
  <c r="N14" i="166" s="1"/>
  <c r="L14" i="166"/>
  <c r="H14" i="166"/>
  <c r="E14" i="166"/>
  <c r="F14" i="166" s="1"/>
  <c r="D14" i="166"/>
  <c r="D99" i="165"/>
  <c r="I97" i="165"/>
  <c r="H97" i="165"/>
  <c r="N97" i="165" s="1"/>
  <c r="I96" i="165"/>
  <c r="H96" i="165"/>
  <c r="N96" i="165" s="1"/>
  <c r="J95" i="165"/>
  <c r="I94" i="165"/>
  <c r="E94" i="165"/>
  <c r="F94" i="165" s="1"/>
  <c r="L92" i="165"/>
  <c r="O91" i="165"/>
  <c r="P91" i="165" s="1"/>
  <c r="N91" i="165"/>
  <c r="G91" i="165"/>
  <c r="F91" i="165"/>
  <c r="N90" i="165"/>
  <c r="R89" i="165"/>
  <c r="N89" i="165"/>
  <c r="G89" i="165"/>
  <c r="F89" i="165"/>
  <c r="E88" i="165"/>
  <c r="F88" i="165" s="1"/>
  <c r="R87" i="165"/>
  <c r="O85" i="165"/>
  <c r="N85" i="165"/>
  <c r="Q85" i="165" s="1"/>
  <c r="H85" i="165"/>
  <c r="J85" i="165" s="1"/>
  <c r="I84" i="165"/>
  <c r="O84" i="165" s="1"/>
  <c r="H84" i="165"/>
  <c r="N84" i="165" s="1"/>
  <c r="G84" i="165"/>
  <c r="F84" i="165"/>
  <c r="L83" i="165"/>
  <c r="P82" i="165"/>
  <c r="N81" i="165"/>
  <c r="O80" i="165"/>
  <c r="N80" i="165"/>
  <c r="I80" i="165"/>
  <c r="K80" i="165" s="1"/>
  <c r="N79" i="165"/>
  <c r="E79" i="165"/>
  <c r="I79" i="165" s="1"/>
  <c r="K79" i="165" s="1"/>
  <c r="N78" i="165"/>
  <c r="E78" i="165"/>
  <c r="F78" i="165" s="1"/>
  <c r="N77" i="165"/>
  <c r="I77" i="165"/>
  <c r="F77" i="165"/>
  <c r="O76" i="165"/>
  <c r="N76" i="165"/>
  <c r="I76" i="165"/>
  <c r="K76" i="165" s="1"/>
  <c r="F76" i="165"/>
  <c r="N75" i="165"/>
  <c r="E75" i="165"/>
  <c r="F75" i="165" s="1"/>
  <c r="O74" i="165"/>
  <c r="N74" i="165"/>
  <c r="I74" i="165"/>
  <c r="K74" i="165" s="1"/>
  <c r="G74" i="165"/>
  <c r="F74" i="165"/>
  <c r="O73" i="165"/>
  <c r="N73" i="165"/>
  <c r="I73" i="165"/>
  <c r="G73" i="165"/>
  <c r="F73" i="165"/>
  <c r="S72" i="165"/>
  <c r="O72" i="165"/>
  <c r="N72" i="165"/>
  <c r="I72" i="165"/>
  <c r="K72" i="165" s="1"/>
  <c r="G72" i="165"/>
  <c r="F72" i="165"/>
  <c r="N71" i="165"/>
  <c r="E71" i="165"/>
  <c r="O71" i="165" s="1"/>
  <c r="N70" i="165"/>
  <c r="I70" i="165"/>
  <c r="E70" i="165"/>
  <c r="F70" i="165" s="1"/>
  <c r="N69" i="165"/>
  <c r="E69" i="165"/>
  <c r="O69" i="165" s="1"/>
  <c r="N68" i="165"/>
  <c r="E68" i="165"/>
  <c r="F68" i="165" s="1"/>
  <c r="O67" i="165"/>
  <c r="N67" i="165"/>
  <c r="I67" i="165"/>
  <c r="K67" i="165" s="1"/>
  <c r="G67" i="165"/>
  <c r="F67" i="165"/>
  <c r="O66" i="165"/>
  <c r="N66" i="165"/>
  <c r="I66" i="165"/>
  <c r="K66" i="165" s="1"/>
  <c r="G66" i="165"/>
  <c r="F66" i="165"/>
  <c r="N65" i="165"/>
  <c r="E65" i="165"/>
  <c r="F65" i="165" s="1"/>
  <c r="I65" i="165"/>
  <c r="N64" i="165"/>
  <c r="E64" i="165"/>
  <c r="F64" i="165" s="1"/>
  <c r="O63" i="165"/>
  <c r="N63" i="165"/>
  <c r="I63" i="165"/>
  <c r="K63" i="165" s="1"/>
  <c r="G63" i="165"/>
  <c r="F63" i="165"/>
  <c r="N62" i="165"/>
  <c r="E62" i="165"/>
  <c r="N61" i="165"/>
  <c r="E61" i="165"/>
  <c r="F61" i="165" s="1"/>
  <c r="N60" i="165"/>
  <c r="E60" i="165"/>
  <c r="N59" i="165"/>
  <c r="E59" i="165"/>
  <c r="F59" i="165" s="1"/>
  <c r="N58" i="165"/>
  <c r="E58" i="165"/>
  <c r="I58" i="165"/>
  <c r="K58" i="165" s="1"/>
  <c r="N57" i="165"/>
  <c r="G57" i="165"/>
  <c r="F57" i="165"/>
  <c r="O56" i="165"/>
  <c r="N56" i="165"/>
  <c r="I56" i="165"/>
  <c r="K56" i="165" s="1"/>
  <c r="G56" i="165"/>
  <c r="F56" i="165"/>
  <c r="S55" i="165"/>
  <c r="O55" i="165"/>
  <c r="N54" i="165"/>
  <c r="E54" i="165"/>
  <c r="O54" i="165"/>
  <c r="P54" i="165" s="1"/>
  <c r="H53" i="165"/>
  <c r="D53" i="165"/>
  <c r="H52" i="165"/>
  <c r="N52" i="165" s="1"/>
  <c r="E52" i="165"/>
  <c r="H51" i="165"/>
  <c r="E51" i="165"/>
  <c r="F51" i="165" s="1"/>
  <c r="H50" i="165"/>
  <c r="N50" i="165" s="1"/>
  <c r="O50" i="165"/>
  <c r="Q50" i="165" s="1"/>
  <c r="G50" i="165"/>
  <c r="E50" i="165"/>
  <c r="F50" i="165" s="1"/>
  <c r="H49" i="165"/>
  <c r="O49" i="165"/>
  <c r="G49" i="165"/>
  <c r="E49" i="165"/>
  <c r="E100" i="165" s="1"/>
  <c r="H48" i="165"/>
  <c r="H47" i="165" s="1"/>
  <c r="D48" i="165"/>
  <c r="D47" i="165" s="1"/>
  <c r="M47" i="165"/>
  <c r="L47" i="165"/>
  <c r="H46" i="165"/>
  <c r="N46" i="165" s="1"/>
  <c r="O46" i="165"/>
  <c r="F46" i="165"/>
  <c r="O45" i="165"/>
  <c r="I45" i="165"/>
  <c r="H45" i="165"/>
  <c r="N45" i="165" s="1"/>
  <c r="F45" i="165"/>
  <c r="H44" i="165"/>
  <c r="N44" i="165" s="1"/>
  <c r="E44" i="165"/>
  <c r="O44" i="165" s="1"/>
  <c r="I43" i="165"/>
  <c r="H43" i="165"/>
  <c r="N43" i="165" s="1"/>
  <c r="G43" i="165"/>
  <c r="F43" i="165"/>
  <c r="H42" i="165"/>
  <c r="N42" i="165" s="1"/>
  <c r="G42" i="165"/>
  <c r="F42" i="165"/>
  <c r="O43" i="165"/>
  <c r="H41" i="165"/>
  <c r="N41" i="165" s="1"/>
  <c r="E41" i="165"/>
  <c r="F41" i="165" s="1"/>
  <c r="I41" i="165"/>
  <c r="H40" i="165"/>
  <c r="N40" i="165" s="1"/>
  <c r="E40" i="165"/>
  <c r="F40" i="165" s="1"/>
  <c r="H39" i="165"/>
  <c r="N39" i="165" s="1"/>
  <c r="E39" i="165"/>
  <c r="F39" i="165" s="1"/>
  <c r="H38" i="165"/>
  <c r="N38" i="165" s="1"/>
  <c r="E38" i="165"/>
  <c r="F38" i="165" s="1"/>
  <c r="O37" i="165"/>
  <c r="H37" i="165"/>
  <c r="N37" i="165" s="1"/>
  <c r="N36" i="165" s="1"/>
  <c r="F37" i="165"/>
  <c r="M36" i="165"/>
  <c r="L36" i="165"/>
  <c r="D36" i="165"/>
  <c r="H34" i="165"/>
  <c r="N34" i="165" s="1"/>
  <c r="N33" i="165" s="1"/>
  <c r="E34" i="165"/>
  <c r="F34" i="165" s="1"/>
  <c r="F33" i="165" s="1"/>
  <c r="D33" i="165"/>
  <c r="H32" i="165"/>
  <c r="N32" i="165" s="1"/>
  <c r="G32" i="165"/>
  <c r="F32" i="165"/>
  <c r="E32" i="165"/>
  <c r="E31" i="165"/>
  <c r="F31" i="165" s="1"/>
  <c r="E30" i="165"/>
  <c r="F30" i="165" s="1"/>
  <c r="H29" i="165"/>
  <c r="N29" i="165" s="1"/>
  <c r="E29" i="165"/>
  <c r="F29" i="165" s="1"/>
  <c r="H28" i="165"/>
  <c r="G28" i="165"/>
  <c r="F28" i="165"/>
  <c r="E28" i="165"/>
  <c r="D27" i="165"/>
  <c r="H26" i="165"/>
  <c r="N26" i="165" s="1"/>
  <c r="E26" i="165"/>
  <c r="F26" i="165" s="1"/>
  <c r="O25" i="165"/>
  <c r="N25" i="165"/>
  <c r="H24" i="165"/>
  <c r="N24" i="165" s="1"/>
  <c r="E24" i="165"/>
  <c r="F24" i="165" s="1"/>
  <c r="O23" i="165"/>
  <c r="N23" i="165"/>
  <c r="H22" i="165"/>
  <c r="N22" i="165" s="1"/>
  <c r="N21" i="165" s="1"/>
  <c r="E22" i="165"/>
  <c r="F22" i="165" s="1"/>
  <c r="M21" i="165"/>
  <c r="M20" i="165" s="1"/>
  <c r="L21" i="165"/>
  <c r="L20" i="165" s="1"/>
  <c r="D21" i="165"/>
  <c r="E15" i="165"/>
  <c r="I15" i="165" s="1"/>
  <c r="M14" i="165"/>
  <c r="M16" i="165" s="1"/>
  <c r="L14" i="165"/>
  <c r="L16" i="165" s="1"/>
  <c r="E14" i="165"/>
  <c r="D100" i="164"/>
  <c r="D99" i="164"/>
  <c r="I97" i="164"/>
  <c r="H97" i="164"/>
  <c r="N97" i="164" s="1"/>
  <c r="I96" i="164"/>
  <c r="I94" i="164" s="1"/>
  <c r="H96" i="164"/>
  <c r="N96" i="164" s="1"/>
  <c r="N94" i="164" s="1"/>
  <c r="J95" i="164"/>
  <c r="E94" i="164"/>
  <c r="F94" i="164" s="1"/>
  <c r="L92" i="164"/>
  <c r="O91" i="164"/>
  <c r="N91" i="164"/>
  <c r="N90" i="164"/>
  <c r="R89" i="164"/>
  <c r="N89" i="164"/>
  <c r="R87" i="164"/>
  <c r="O85" i="164"/>
  <c r="H85" i="164"/>
  <c r="N85" i="164" s="1"/>
  <c r="Q85" i="164" s="1"/>
  <c r="I84" i="164"/>
  <c r="O84" i="164" s="1"/>
  <c r="H84" i="164"/>
  <c r="L83" i="164"/>
  <c r="P82" i="164"/>
  <c r="N81" i="164"/>
  <c r="O80" i="164"/>
  <c r="N80" i="164"/>
  <c r="I80" i="164"/>
  <c r="K80" i="164" s="1"/>
  <c r="N79" i="164"/>
  <c r="I79" i="164"/>
  <c r="K79" i="164" s="1"/>
  <c r="N78" i="164"/>
  <c r="N77" i="164"/>
  <c r="I77" i="164"/>
  <c r="K77" i="164" s="1"/>
  <c r="O76" i="164"/>
  <c r="N76" i="164"/>
  <c r="I76" i="164"/>
  <c r="S76" i="164" s="1"/>
  <c r="N75" i="164"/>
  <c r="O75" i="164"/>
  <c r="O74" i="164"/>
  <c r="N74" i="164"/>
  <c r="I74" i="164"/>
  <c r="K74" i="164" s="1"/>
  <c r="O73" i="164"/>
  <c r="N73" i="164"/>
  <c r="I73" i="164"/>
  <c r="O72" i="164"/>
  <c r="N72" i="164"/>
  <c r="I72" i="164"/>
  <c r="K72" i="164" s="1"/>
  <c r="N71" i="164"/>
  <c r="N70" i="164"/>
  <c r="O70" i="164"/>
  <c r="N69" i="164"/>
  <c r="N68" i="164"/>
  <c r="O67" i="164"/>
  <c r="N67" i="164"/>
  <c r="I67" i="164"/>
  <c r="K67" i="164" s="1"/>
  <c r="O66" i="164"/>
  <c r="N66" i="164"/>
  <c r="I66" i="164"/>
  <c r="K66" i="164" s="1"/>
  <c r="N65" i="164"/>
  <c r="N64" i="164"/>
  <c r="O63" i="164"/>
  <c r="N63" i="164"/>
  <c r="I63" i="164"/>
  <c r="K63" i="164" s="1"/>
  <c r="N62" i="164"/>
  <c r="N61" i="164"/>
  <c r="I61" i="164"/>
  <c r="K61" i="164" s="1"/>
  <c r="N60" i="164"/>
  <c r="N59" i="164"/>
  <c r="O59" i="164"/>
  <c r="N58" i="164"/>
  <c r="O57" i="164"/>
  <c r="N57" i="164"/>
  <c r="O56" i="164"/>
  <c r="N56" i="164"/>
  <c r="I56" i="164"/>
  <c r="K56" i="164" s="1"/>
  <c r="S55" i="164"/>
  <c r="O55" i="164"/>
  <c r="N54" i="164"/>
  <c r="H53" i="164"/>
  <c r="H52" i="164"/>
  <c r="N52" i="164" s="1"/>
  <c r="H51" i="164"/>
  <c r="H50" i="164"/>
  <c r="N50" i="164" s="1"/>
  <c r="H49" i="164"/>
  <c r="H100" i="164" s="1"/>
  <c r="E100" i="164"/>
  <c r="M47" i="164"/>
  <c r="L47" i="164"/>
  <c r="H46" i="164"/>
  <c r="N46" i="164" s="1"/>
  <c r="O46" i="164"/>
  <c r="O45" i="164"/>
  <c r="I45" i="164"/>
  <c r="H45" i="164"/>
  <c r="N45" i="164" s="1"/>
  <c r="H44" i="164"/>
  <c r="N44" i="164" s="1"/>
  <c r="O44" i="164"/>
  <c r="H43" i="164"/>
  <c r="N43" i="164" s="1"/>
  <c r="H42" i="164"/>
  <c r="N42" i="164" s="1"/>
  <c r="H41" i="164"/>
  <c r="N41" i="164" s="1"/>
  <c r="H40" i="164"/>
  <c r="N40" i="164" s="1"/>
  <c r="H39" i="164"/>
  <c r="N39" i="164" s="1"/>
  <c r="H38" i="164"/>
  <c r="N38" i="164" s="1"/>
  <c r="O37" i="164"/>
  <c r="H37" i="164"/>
  <c r="N37" i="164" s="1"/>
  <c r="M36" i="164"/>
  <c r="L36" i="164"/>
  <c r="H34" i="164"/>
  <c r="N34" i="164" s="1"/>
  <c r="N33" i="164" s="1"/>
  <c r="H32" i="164"/>
  <c r="N32" i="164" s="1"/>
  <c r="O31" i="164"/>
  <c r="I30" i="164"/>
  <c r="H29" i="164"/>
  <c r="N29" i="164" s="1"/>
  <c r="N100" i="164" s="1"/>
  <c r="H28" i="164"/>
  <c r="H26" i="164"/>
  <c r="N26" i="164" s="1"/>
  <c r="O25" i="164"/>
  <c r="N25" i="164"/>
  <c r="H24" i="164"/>
  <c r="N24" i="164" s="1"/>
  <c r="O23" i="164"/>
  <c r="N23" i="164"/>
  <c r="H22" i="164"/>
  <c r="N22" i="164" s="1"/>
  <c r="N21" i="164" s="1"/>
  <c r="M21" i="164"/>
  <c r="L21" i="164"/>
  <c r="E15" i="164"/>
  <c r="I15" i="164" s="1"/>
  <c r="M14" i="164"/>
  <c r="M16" i="164" s="1"/>
  <c r="L14" i="164"/>
  <c r="L16" i="164" s="1"/>
  <c r="G46" i="167" l="1"/>
  <c r="G58" i="167"/>
  <c r="F57" i="167"/>
  <c r="F64" i="167"/>
  <c r="F32" i="167"/>
  <c r="E33" i="167"/>
  <c r="G33" i="167" s="1"/>
  <c r="G24" i="167"/>
  <c r="F45" i="167"/>
  <c r="G54" i="167"/>
  <c r="G67" i="167"/>
  <c r="G56" i="167"/>
  <c r="G65" i="167"/>
  <c r="D79" i="167"/>
  <c r="D83" i="167" s="1"/>
  <c r="D88" i="167" s="1"/>
  <c r="D14" i="167" s="1"/>
  <c r="D16" i="167" s="1"/>
  <c r="H21" i="165"/>
  <c r="Q91" i="165"/>
  <c r="G75" i="165"/>
  <c r="M83" i="165"/>
  <c r="M87" i="165" s="1"/>
  <c r="M92" i="165" s="1"/>
  <c r="G44" i="165"/>
  <c r="H100" i="165"/>
  <c r="E53" i="165"/>
  <c r="E48" i="165" s="1"/>
  <c r="F79" i="165"/>
  <c r="P80" i="165"/>
  <c r="J84" i="165"/>
  <c r="N94" i="165"/>
  <c r="F44" i="165"/>
  <c r="D20" i="165"/>
  <c r="D83" i="165" s="1"/>
  <c r="D87" i="165" s="1"/>
  <c r="D92" i="165" s="1"/>
  <c r="D14" i="165" s="1"/>
  <c r="H14" i="165" s="1"/>
  <c r="H16" i="165" s="1"/>
  <c r="F27" i="165"/>
  <c r="N100" i="165"/>
  <c r="G68" i="165"/>
  <c r="G78" i="165"/>
  <c r="K96" i="165"/>
  <c r="G53" i="165"/>
  <c r="G24" i="165"/>
  <c r="G29" i="165"/>
  <c r="E33" i="165"/>
  <c r="G33" i="165" s="1"/>
  <c r="E36" i="165"/>
  <c r="G36" i="165" s="1"/>
  <c r="P37" i="165"/>
  <c r="F49" i="165"/>
  <c r="N53" i="165"/>
  <c r="G61" i="165"/>
  <c r="I68" i="165"/>
  <c r="K68" i="165" s="1"/>
  <c r="Q76" i="165"/>
  <c r="Q80" i="165"/>
  <c r="H33" i="165"/>
  <c r="O65" i="165"/>
  <c r="P65" i="165" s="1"/>
  <c r="I71" i="165"/>
  <c r="K71" i="165" s="1"/>
  <c r="G79" i="165"/>
  <c r="K85" i="165"/>
  <c r="G94" i="165"/>
  <c r="H94" i="165"/>
  <c r="J94" i="165" s="1"/>
  <c r="G38" i="165"/>
  <c r="O58" i="165"/>
  <c r="Q58" i="165" s="1"/>
  <c r="Q66" i="165"/>
  <c r="K94" i="165"/>
  <c r="F21" i="165"/>
  <c r="O26" i="165"/>
  <c r="Q26" i="165" s="1"/>
  <c r="O31" i="165"/>
  <c r="G34" i="165"/>
  <c r="F36" i="165"/>
  <c r="G39" i="165"/>
  <c r="O40" i="165"/>
  <c r="Q40" i="165" s="1"/>
  <c r="Q44" i="165"/>
  <c r="P46" i="165"/>
  <c r="I51" i="165"/>
  <c r="S51" i="165" s="1"/>
  <c r="Q63" i="165"/>
  <c r="Q67" i="165"/>
  <c r="O77" i="165"/>
  <c r="P77" i="165" s="1"/>
  <c r="O79" i="165"/>
  <c r="P79" i="165" s="1"/>
  <c r="K84" i="165"/>
  <c r="P85" i="165"/>
  <c r="K97" i="165"/>
  <c r="M20" i="164"/>
  <c r="M83" i="164" s="1"/>
  <c r="M87" i="164" s="1"/>
  <c r="M92" i="164" s="1"/>
  <c r="H48" i="164"/>
  <c r="H47" i="164" s="1"/>
  <c r="Q59" i="164"/>
  <c r="L20" i="164"/>
  <c r="H36" i="164"/>
  <c r="H33" i="164"/>
  <c r="P74" i="164"/>
  <c r="Q67" i="164"/>
  <c r="P75" i="164"/>
  <c r="P44" i="164"/>
  <c r="Q70" i="164"/>
  <c r="I28" i="164"/>
  <c r="Q66" i="164"/>
  <c r="P67" i="164"/>
  <c r="O32" i="164"/>
  <c r="Q32" i="164" s="1"/>
  <c r="I59" i="164"/>
  <c r="K59" i="164" s="1"/>
  <c r="K84" i="164"/>
  <c r="N84" i="164"/>
  <c r="Q84" i="164" s="1"/>
  <c r="K85" i="164"/>
  <c r="Q91" i="164"/>
  <c r="P37" i="164"/>
  <c r="O50" i="164"/>
  <c r="P50" i="164" s="1"/>
  <c r="P57" i="164"/>
  <c r="O29" i="164"/>
  <c r="O38" i="164"/>
  <c r="Q57" i="164"/>
  <c r="P66" i="164"/>
  <c r="P73" i="164"/>
  <c r="Q76" i="164"/>
  <c r="O77" i="164"/>
  <c r="P77" i="164" s="1"/>
  <c r="O79" i="164"/>
  <c r="Q79" i="164" s="1"/>
  <c r="G94" i="164"/>
  <c r="K96" i="164"/>
  <c r="K97" i="164"/>
  <c r="O49" i="164"/>
  <c r="S59" i="164"/>
  <c r="O69" i="164"/>
  <c r="P70" i="164"/>
  <c r="P91" i="164"/>
  <c r="D14" i="164"/>
  <c r="H14" i="164" s="1"/>
  <c r="O24" i="164"/>
  <c r="P24" i="164" s="1"/>
  <c r="I39" i="164"/>
  <c r="J39" i="164" s="1"/>
  <c r="O62" i="164"/>
  <c r="Q62" i="164" s="1"/>
  <c r="I65" i="164"/>
  <c r="Q72" i="164"/>
  <c r="I75" i="164"/>
  <c r="K76" i="164"/>
  <c r="Q80" i="164"/>
  <c r="G50" i="167"/>
  <c r="G71" i="167"/>
  <c r="F73" i="167"/>
  <c r="G90" i="167"/>
  <c r="F28" i="167"/>
  <c r="E36" i="167"/>
  <c r="G36" i="167" s="1"/>
  <c r="F42" i="167"/>
  <c r="G45" i="167"/>
  <c r="G48" i="167"/>
  <c r="F74" i="167"/>
  <c r="E16" i="167"/>
  <c r="F22" i="167"/>
  <c r="F21" i="167" s="1"/>
  <c r="E94" i="167"/>
  <c r="E95" i="167"/>
  <c r="F29" i="167"/>
  <c r="F34" i="167"/>
  <c r="F33" i="167" s="1"/>
  <c r="F38" i="167"/>
  <c r="F39" i="167"/>
  <c r="G40" i="167"/>
  <c r="G41" i="167"/>
  <c r="G42" i="167"/>
  <c r="G60" i="167"/>
  <c r="F60" i="167"/>
  <c r="E21" i="167"/>
  <c r="E27" i="167"/>
  <c r="G27" i="167" s="1"/>
  <c r="F55" i="167"/>
  <c r="G96" i="167"/>
  <c r="F96" i="167"/>
  <c r="E49" i="167"/>
  <c r="F66" i="167"/>
  <c r="F90" i="167"/>
  <c r="AA22" i="166"/>
  <c r="Z22" i="166"/>
  <c r="G21" i="166"/>
  <c r="AF37" i="166"/>
  <c r="AD36" i="166"/>
  <c r="AG37" i="166"/>
  <c r="AA29" i="166"/>
  <c r="Z29" i="166"/>
  <c r="AF38" i="166"/>
  <c r="AG38" i="166"/>
  <c r="AG34" i="166"/>
  <c r="AF34" i="166"/>
  <c r="AE33" i="166"/>
  <c r="G14" i="166"/>
  <c r="O14" i="166"/>
  <c r="S14" i="166"/>
  <c r="M16" i="166"/>
  <c r="Q16" i="166"/>
  <c r="U16" i="166"/>
  <c r="X21" i="166"/>
  <c r="W22" i="166"/>
  <c r="U21" i="166"/>
  <c r="O24" i="166"/>
  <c r="S26" i="166"/>
  <c r="R26" i="166"/>
  <c r="F30" i="166"/>
  <c r="Q27" i="166"/>
  <c r="S27" i="166" s="1"/>
  <c r="R30" i="166"/>
  <c r="R27" i="166" s="1"/>
  <c r="W34" i="166"/>
  <c r="V34" i="166"/>
  <c r="V33" i="166" s="1"/>
  <c r="I36" i="166"/>
  <c r="K36" i="166" s="1"/>
  <c r="J41" i="166"/>
  <c r="K41" i="166"/>
  <c r="AE50" i="166"/>
  <c r="T83" i="166"/>
  <c r="T87" i="166" s="1"/>
  <c r="T92" i="166" s="1"/>
  <c r="T14" i="166" s="1"/>
  <c r="T16" i="166" s="1"/>
  <c r="AE26" i="166"/>
  <c r="Y26" i="166"/>
  <c r="G26" i="166"/>
  <c r="I99" i="166"/>
  <c r="I98" i="166"/>
  <c r="K28" i="166"/>
  <c r="I27" i="166"/>
  <c r="J28" i="166"/>
  <c r="X99" i="166"/>
  <c r="X27" i="166"/>
  <c r="E99" i="166"/>
  <c r="E98" i="166"/>
  <c r="G29" i="166"/>
  <c r="F29" i="166"/>
  <c r="F27" i="166" s="1"/>
  <c r="AE28" i="166"/>
  <c r="G34" i="166"/>
  <c r="E33" i="166"/>
  <c r="G33" i="166" s="1"/>
  <c r="O38" i="166"/>
  <c r="N38" i="166"/>
  <c r="N36" i="166" s="1"/>
  <c r="Y39" i="166"/>
  <c r="Y57" i="166"/>
  <c r="AA57" i="166" s="1"/>
  <c r="R57" i="166"/>
  <c r="AE57" i="166"/>
  <c r="I14" i="166"/>
  <c r="Y14" i="166" s="1"/>
  <c r="E16" i="166"/>
  <c r="R22" i="166"/>
  <c r="R21" i="166" s="1"/>
  <c r="Q21" i="166"/>
  <c r="AE22" i="166"/>
  <c r="F24" i="166"/>
  <c r="F21" i="166" s="1"/>
  <c r="AE24" i="166"/>
  <c r="Y24" i="166"/>
  <c r="Y21" i="166" s="1"/>
  <c r="M99" i="166"/>
  <c r="M98" i="166"/>
  <c r="M27" i="166"/>
  <c r="O28" i="166"/>
  <c r="W29" i="166"/>
  <c r="V29" i="166"/>
  <c r="AE29" i="166"/>
  <c r="Y31" i="166"/>
  <c r="K32" i="166"/>
  <c r="J32" i="166"/>
  <c r="AA33" i="166"/>
  <c r="Z33" i="166"/>
  <c r="AA34" i="166"/>
  <c r="Z34" i="166"/>
  <c r="AA37" i="166"/>
  <c r="F38" i="166"/>
  <c r="F36" i="166" s="1"/>
  <c r="Y38" i="166"/>
  <c r="Y36" i="166" s="1"/>
  <c r="G38" i="166"/>
  <c r="U100" i="166"/>
  <c r="V49" i="166"/>
  <c r="V48" i="166" s="1"/>
  <c r="V47" i="166" s="1"/>
  <c r="U48" i="166"/>
  <c r="AE49" i="166"/>
  <c r="J52" i="166"/>
  <c r="K52" i="166"/>
  <c r="J54" i="166"/>
  <c r="I53" i="166"/>
  <c r="K53" i="166" s="1"/>
  <c r="Y54" i="166"/>
  <c r="K54" i="166"/>
  <c r="S57" i="166"/>
  <c r="AF59" i="166"/>
  <c r="AG59" i="166"/>
  <c r="S22" i="166"/>
  <c r="G24" i="166"/>
  <c r="N24" i="166"/>
  <c r="N21" i="166" s="1"/>
  <c r="N28" i="166"/>
  <c r="N27" i="166" s="1"/>
  <c r="AD28" i="166"/>
  <c r="J29" i="166"/>
  <c r="J31" i="166"/>
  <c r="X36" i="166"/>
  <c r="R36" i="166"/>
  <c r="G39" i="166"/>
  <c r="AG39" i="166"/>
  <c r="J40" i="166"/>
  <c r="AG44" i="166"/>
  <c r="AF44" i="166"/>
  <c r="W49" i="166"/>
  <c r="AE54" i="166"/>
  <c r="AG58" i="166"/>
  <c r="AF58" i="166"/>
  <c r="U98" i="166"/>
  <c r="U99" i="166"/>
  <c r="Y28" i="166"/>
  <c r="Y32" i="166"/>
  <c r="AE32" i="166"/>
  <c r="AE40" i="166"/>
  <c r="Y40" i="166"/>
  <c r="G40" i="166"/>
  <c r="R51" i="166"/>
  <c r="Q48" i="166"/>
  <c r="AI61" i="166"/>
  <c r="AA61" i="166"/>
  <c r="AI65" i="166"/>
  <c r="AA65" i="166"/>
  <c r="AA71" i="166"/>
  <c r="AI71" i="166"/>
  <c r="E27" i="166"/>
  <c r="G27" i="166" s="1"/>
  <c r="U27" i="166"/>
  <c r="W27" i="166" s="1"/>
  <c r="Q99" i="166"/>
  <c r="Q98" i="166"/>
  <c r="V28" i="166"/>
  <c r="V27" i="166" s="1"/>
  <c r="V20" i="166" s="1"/>
  <c r="J39" i="166"/>
  <c r="J36" i="166" s="1"/>
  <c r="AE41" i="166"/>
  <c r="AE43" i="166"/>
  <c r="Y43" i="166"/>
  <c r="K43" i="166"/>
  <c r="AG46" i="166"/>
  <c r="E100" i="166"/>
  <c r="F49" i="166"/>
  <c r="E48" i="166"/>
  <c r="M100" i="166"/>
  <c r="N49" i="166"/>
  <c r="M48" i="166"/>
  <c r="Y49" i="166"/>
  <c r="Y50" i="166"/>
  <c r="Y51" i="166"/>
  <c r="AE51" i="166"/>
  <c r="F51" i="166"/>
  <c r="AE52" i="166"/>
  <c r="S52" i="166"/>
  <c r="Y58" i="166"/>
  <c r="AG62" i="166"/>
  <c r="AF62" i="166"/>
  <c r="AG60" i="166"/>
  <c r="AF60" i="166"/>
  <c r="G41" i="166"/>
  <c r="G42" i="166"/>
  <c r="O44" i="166"/>
  <c r="W46" i="166"/>
  <c r="I48" i="166"/>
  <c r="K49" i="166"/>
  <c r="S100" i="166"/>
  <c r="R100" i="166"/>
  <c r="G52" i="166"/>
  <c r="G58" i="166"/>
  <c r="G60" i="166"/>
  <c r="J61" i="166"/>
  <c r="G62" i="166"/>
  <c r="Y64" i="166"/>
  <c r="AI64" i="166" s="1"/>
  <c r="K68" i="166"/>
  <c r="R68" i="166"/>
  <c r="K71" i="166"/>
  <c r="S71" i="166"/>
  <c r="AG74" i="166"/>
  <c r="O75" i="166"/>
  <c r="W75" i="166"/>
  <c r="S88" i="166"/>
  <c r="R88" i="166"/>
  <c r="Y60" i="166"/>
  <c r="Y62" i="166"/>
  <c r="Y68" i="166"/>
  <c r="AI72" i="166"/>
  <c r="Y76" i="166"/>
  <c r="F76" i="166"/>
  <c r="AE76" i="166"/>
  <c r="AI77" i="166"/>
  <c r="Y78" i="166"/>
  <c r="G90" i="166"/>
  <c r="F90" i="166"/>
  <c r="AG97" i="166"/>
  <c r="AF97" i="166"/>
  <c r="Y41" i="166"/>
  <c r="Y42" i="166"/>
  <c r="AE42" i="166"/>
  <c r="Y44" i="166"/>
  <c r="Y46" i="166"/>
  <c r="J100" i="166"/>
  <c r="K100" i="166"/>
  <c r="AD49" i="166"/>
  <c r="AD48" i="166" s="1"/>
  <c r="AD47" i="166" s="1"/>
  <c r="Y52" i="166"/>
  <c r="J60" i="166"/>
  <c r="R61" i="166"/>
  <c r="R53" i="166" s="1"/>
  <c r="AE61" i="166"/>
  <c r="J62" i="166"/>
  <c r="AF63" i="166"/>
  <c r="AE64" i="166"/>
  <c r="AF66" i="166"/>
  <c r="AF67" i="166"/>
  <c r="N68" i="166"/>
  <c r="N53" i="166" s="1"/>
  <c r="AG69" i="166"/>
  <c r="Y69" i="166"/>
  <c r="AG70" i="166"/>
  <c r="AF70" i="166"/>
  <c r="AG73" i="166"/>
  <c r="F75" i="166"/>
  <c r="F53" i="166" s="1"/>
  <c r="Y75" i="166"/>
  <c r="G76" i="166"/>
  <c r="AE78" i="166"/>
  <c r="S78" i="166"/>
  <c r="AG79" i="166"/>
  <c r="AG84" i="166"/>
  <c r="AD94" i="166"/>
  <c r="AE68" i="166"/>
  <c r="AE71" i="166"/>
  <c r="J71" i="166"/>
  <c r="AE75" i="166"/>
  <c r="AF85" i="166"/>
  <c r="AG96" i="166"/>
  <c r="AF96" i="166"/>
  <c r="AE94" i="166"/>
  <c r="G78" i="166"/>
  <c r="Z85" i="166"/>
  <c r="X94" i="166"/>
  <c r="AA94" i="166" s="1"/>
  <c r="Z96" i="166"/>
  <c r="Z97" i="166"/>
  <c r="AA84" i="166"/>
  <c r="N90" i="166"/>
  <c r="R94" i="166"/>
  <c r="V94" i="166"/>
  <c r="AA96" i="166"/>
  <c r="AA97" i="166"/>
  <c r="E16" i="165"/>
  <c r="P40" i="165"/>
  <c r="P26" i="165"/>
  <c r="Q43" i="165"/>
  <c r="P43" i="165"/>
  <c r="I14" i="165"/>
  <c r="N14" i="165"/>
  <c r="N16" i="165" s="1"/>
  <c r="S41" i="165"/>
  <c r="K41" i="165"/>
  <c r="J41" i="165"/>
  <c r="G26" i="165"/>
  <c r="E99" i="165"/>
  <c r="E98" i="165"/>
  <c r="I31" i="165"/>
  <c r="H36" i="165"/>
  <c r="Q37" i="165"/>
  <c r="G40" i="165"/>
  <c r="I40" i="165"/>
  <c r="O41" i="165"/>
  <c r="G41" i="165"/>
  <c r="Q46" i="165"/>
  <c r="O52" i="165"/>
  <c r="G60" i="165"/>
  <c r="F60" i="165"/>
  <c r="G62" i="165"/>
  <c r="F62" i="165"/>
  <c r="I64" i="165"/>
  <c r="S64" i="165" s="1"/>
  <c r="O64" i="165"/>
  <c r="S65" i="165"/>
  <c r="K65" i="165"/>
  <c r="P69" i="165"/>
  <c r="Q69" i="165"/>
  <c r="I22" i="165"/>
  <c r="O22" i="165"/>
  <c r="H98" i="165"/>
  <c r="H99" i="165"/>
  <c r="N28" i="165"/>
  <c r="I29" i="165"/>
  <c r="O29" i="165"/>
  <c r="I30" i="165"/>
  <c r="I34" i="165"/>
  <c r="O34" i="165"/>
  <c r="I38" i="165"/>
  <c r="O38" i="165"/>
  <c r="I39" i="165"/>
  <c r="O39" i="165"/>
  <c r="I57" i="165"/>
  <c r="K57" i="165" s="1"/>
  <c r="O61" i="165"/>
  <c r="S70" i="165"/>
  <c r="K70" i="165"/>
  <c r="I24" i="165"/>
  <c r="O24" i="165"/>
  <c r="H27" i="165"/>
  <c r="I28" i="165"/>
  <c r="O28" i="165"/>
  <c r="I32" i="165"/>
  <c r="O32" i="165"/>
  <c r="I37" i="165"/>
  <c r="K43" i="165"/>
  <c r="J43" i="165"/>
  <c r="P44" i="165"/>
  <c r="P50" i="165"/>
  <c r="G52" i="165"/>
  <c r="F52" i="165"/>
  <c r="G54" i="165"/>
  <c r="F54" i="165"/>
  <c r="Q54" i="165"/>
  <c r="G58" i="165"/>
  <c r="F58" i="165"/>
  <c r="S58" i="165"/>
  <c r="I59" i="165"/>
  <c r="I61" i="165"/>
  <c r="P63" i="165"/>
  <c r="E21" i="165"/>
  <c r="I26" i="165"/>
  <c r="E27" i="165"/>
  <c r="G27" i="165" s="1"/>
  <c r="O36" i="165"/>
  <c r="I49" i="165"/>
  <c r="I50" i="165"/>
  <c r="O51" i="165"/>
  <c r="O57" i="165"/>
  <c r="O59" i="165"/>
  <c r="I60" i="165"/>
  <c r="O60" i="165"/>
  <c r="I62" i="165"/>
  <c r="O62" i="165"/>
  <c r="G100" i="165"/>
  <c r="F100" i="165"/>
  <c r="I54" i="165"/>
  <c r="P66" i="165"/>
  <c r="P67" i="165"/>
  <c r="F71" i="165"/>
  <c r="G71" i="165"/>
  <c r="P72" i="165"/>
  <c r="Q72" i="165"/>
  <c r="O75" i="165"/>
  <c r="I75" i="165"/>
  <c r="I42" i="165"/>
  <c r="O42" i="165"/>
  <c r="I44" i="165"/>
  <c r="I46" i="165"/>
  <c r="N49" i="165"/>
  <c r="N48" i="165" s="1"/>
  <c r="N47" i="165" s="1"/>
  <c r="I52" i="165"/>
  <c r="O68" i="165"/>
  <c r="F69" i="165"/>
  <c r="G69" i="165"/>
  <c r="P73" i="165"/>
  <c r="Q73" i="165"/>
  <c r="S77" i="165"/>
  <c r="K77" i="165"/>
  <c r="Q84" i="165"/>
  <c r="P84" i="165"/>
  <c r="I69" i="165"/>
  <c r="O70" i="165"/>
  <c r="P71" i="165"/>
  <c r="Q71" i="165"/>
  <c r="P74" i="165"/>
  <c r="Q74" i="165"/>
  <c r="S76" i="165"/>
  <c r="Q77" i="165"/>
  <c r="O78" i="165"/>
  <c r="Q79" i="165"/>
  <c r="G88" i="165"/>
  <c r="O96" i="165"/>
  <c r="O97" i="165"/>
  <c r="I78" i="165"/>
  <c r="J96" i="165"/>
  <c r="J97" i="165"/>
  <c r="P76" i="165"/>
  <c r="Q24" i="164"/>
  <c r="I99" i="164"/>
  <c r="K28" i="164"/>
  <c r="J28" i="164"/>
  <c r="O28" i="164"/>
  <c r="H21" i="164"/>
  <c r="Q37" i="164"/>
  <c r="N36" i="164"/>
  <c r="Q29" i="164"/>
  <c r="P29" i="164"/>
  <c r="S65" i="164"/>
  <c r="K65" i="164"/>
  <c r="O22" i="164"/>
  <c r="I22" i="164"/>
  <c r="O26" i="164"/>
  <c r="I26" i="164"/>
  <c r="P32" i="164"/>
  <c r="Q38" i="164"/>
  <c r="P38" i="164"/>
  <c r="I24" i="164"/>
  <c r="H27" i="164"/>
  <c r="I32" i="164"/>
  <c r="I37" i="164"/>
  <c r="O40" i="164"/>
  <c r="O43" i="164"/>
  <c r="I43" i="164"/>
  <c r="Q46" i="164"/>
  <c r="I49" i="164"/>
  <c r="I98" i="164" s="1"/>
  <c r="I50" i="164"/>
  <c r="I51" i="164"/>
  <c r="O51" i="164"/>
  <c r="O52" i="164"/>
  <c r="O36" i="164"/>
  <c r="I40" i="164"/>
  <c r="Q44" i="164"/>
  <c r="P46" i="164"/>
  <c r="N53" i="164"/>
  <c r="I57" i="164"/>
  <c r="K57" i="164" s="1"/>
  <c r="O58" i="164"/>
  <c r="P59" i="164"/>
  <c r="O61" i="164"/>
  <c r="S61" i="164"/>
  <c r="I62" i="164"/>
  <c r="Q63" i="164"/>
  <c r="P63" i="164"/>
  <c r="O64" i="164"/>
  <c r="I31" i="164"/>
  <c r="O54" i="164"/>
  <c r="I60" i="164"/>
  <c r="O39" i="164"/>
  <c r="E14" i="164"/>
  <c r="I14" i="164" s="1"/>
  <c r="E99" i="164"/>
  <c r="E98" i="164"/>
  <c r="H99" i="164"/>
  <c r="N28" i="164"/>
  <c r="I29" i="164"/>
  <c r="I27" i="164" s="1"/>
  <c r="I34" i="164"/>
  <c r="O34" i="164"/>
  <c r="I38" i="164"/>
  <c r="O41" i="164"/>
  <c r="I41" i="164"/>
  <c r="Q50" i="164"/>
  <c r="I54" i="164"/>
  <c r="O60" i="164"/>
  <c r="P62" i="164"/>
  <c r="I58" i="164"/>
  <c r="O65" i="164"/>
  <c r="P65" i="164" s="1"/>
  <c r="Q69" i="164"/>
  <c r="P69" i="164"/>
  <c r="I68" i="164"/>
  <c r="I70" i="164"/>
  <c r="P72" i="164"/>
  <c r="Q74" i="164"/>
  <c r="Q77" i="164"/>
  <c r="P80" i="164"/>
  <c r="J84" i="164"/>
  <c r="I69" i="164"/>
  <c r="O71" i="164"/>
  <c r="S72" i="164"/>
  <c r="P85" i="164"/>
  <c r="I42" i="164"/>
  <c r="O42" i="164"/>
  <c r="I44" i="164"/>
  <c r="I46" i="164"/>
  <c r="F100" i="164"/>
  <c r="G100" i="164"/>
  <c r="N49" i="164"/>
  <c r="N48" i="164" s="1"/>
  <c r="N47" i="164" s="1"/>
  <c r="I52" i="164"/>
  <c r="O68" i="164"/>
  <c r="Q73" i="164"/>
  <c r="Q75" i="164"/>
  <c r="P76" i="164"/>
  <c r="S77" i="164"/>
  <c r="I78" i="164"/>
  <c r="I64" i="164"/>
  <c r="S64" i="164" s="1"/>
  <c r="I71" i="164"/>
  <c r="O78" i="164"/>
  <c r="J85" i="164"/>
  <c r="H94" i="164"/>
  <c r="J94" i="164" s="1"/>
  <c r="O96" i="164"/>
  <c r="O97" i="164"/>
  <c r="J96" i="164"/>
  <c r="J97" i="164"/>
  <c r="E113" i="162"/>
  <c r="G14" i="167" l="1"/>
  <c r="F14" i="167"/>
  <c r="E47" i="165"/>
  <c r="G47" i="165" s="1"/>
  <c r="G48" i="165"/>
  <c r="S71" i="165"/>
  <c r="K51" i="165"/>
  <c r="H20" i="165"/>
  <c r="H83" i="165" s="1"/>
  <c r="H87" i="165" s="1"/>
  <c r="F14" i="165"/>
  <c r="P58" i="165"/>
  <c r="G14" i="165"/>
  <c r="S68" i="165"/>
  <c r="F20" i="165"/>
  <c r="P84" i="164"/>
  <c r="P79" i="164"/>
  <c r="K39" i="164"/>
  <c r="K75" i="164"/>
  <c r="S75" i="164"/>
  <c r="F36" i="167"/>
  <c r="F27" i="167"/>
  <c r="F49" i="167"/>
  <c r="F44" i="167" s="1"/>
  <c r="F43" i="167" s="1"/>
  <c r="G21" i="167"/>
  <c r="E20" i="167"/>
  <c r="G49" i="167"/>
  <c r="E44" i="167"/>
  <c r="F95" i="167"/>
  <c r="G95" i="167"/>
  <c r="G94" i="167"/>
  <c r="F94" i="167"/>
  <c r="F16" i="167"/>
  <c r="G16" i="167"/>
  <c r="AA36" i="166"/>
  <c r="Z36" i="166"/>
  <c r="Y16" i="166"/>
  <c r="AE14" i="166"/>
  <c r="AA21" i="166"/>
  <c r="Z21" i="166"/>
  <c r="Z94" i="166"/>
  <c r="AG71" i="166"/>
  <c r="AF71" i="166"/>
  <c r="AA42" i="166"/>
  <c r="Z42" i="166"/>
  <c r="AI58" i="166"/>
  <c r="AA58" i="166"/>
  <c r="O48" i="166"/>
  <c r="M47" i="166"/>
  <c r="O47" i="166" s="1"/>
  <c r="F48" i="166"/>
  <c r="F47" i="166" s="1"/>
  <c r="AA43" i="166"/>
  <c r="Z43" i="166"/>
  <c r="S48" i="166"/>
  <c r="Q47" i="166"/>
  <c r="S47" i="166" s="1"/>
  <c r="AG40" i="166"/>
  <c r="AF40" i="166"/>
  <c r="V99" i="166"/>
  <c r="W99" i="166"/>
  <c r="AF54" i="166"/>
  <c r="AG54" i="166"/>
  <c r="AE53" i="166"/>
  <c r="Z54" i="166"/>
  <c r="AI54" i="166"/>
  <c r="AA54" i="166"/>
  <c r="Y53" i="166"/>
  <c r="W100" i="166"/>
  <c r="V100" i="166"/>
  <c r="AE100" i="166"/>
  <c r="AG29" i="166"/>
  <c r="AF29" i="166"/>
  <c r="M20" i="166"/>
  <c r="O27" i="166"/>
  <c r="AF24" i="166"/>
  <c r="AG24" i="166"/>
  <c r="R20" i="166"/>
  <c r="AF57" i="166"/>
  <c r="AG57" i="166"/>
  <c r="Z39" i="166"/>
  <c r="AA39" i="166"/>
  <c r="AA26" i="166"/>
  <c r="Z26" i="166"/>
  <c r="AF50" i="166"/>
  <c r="AG50" i="166"/>
  <c r="X20" i="166"/>
  <c r="X83" i="166" s="1"/>
  <c r="X87" i="166" s="1"/>
  <c r="W14" i="166"/>
  <c r="AG33" i="166"/>
  <c r="AF33" i="166"/>
  <c r="AG36" i="166"/>
  <c r="AF36" i="166"/>
  <c r="AG68" i="166"/>
  <c r="AF68" i="166"/>
  <c r="AI75" i="166"/>
  <c r="AA75" i="166"/>
  <c r="AA52" i="166"/>
  <c r="Z52" i="166"/>
  <c r="AI52" i="166"/>
  <c r="AA46" i="166"/>
  <c r="Z46" i="166"/>
  <c r="AA41" i="166"/>
  <c r="Z41" i="166"/>
  <c r="AI41" i="166"/>
  <c r="AF76" i="166"/>
  <c r="AG76" i="166"/>
  <c r="AA68" i="166"/>
  <c r="AI68" i="166"/>
  <c r="AI51" i="166"/>
  <c r="AA51" i="166"/>
  <c r="N48" i="166"/>
  <c r="N47" i="166" s="1"/>
  <c r="F100" i="166"/>
  <c r="G100" i="166"/>
  <c r="AG43" i="166"/>
  <c r="AF43" i="166"/>
  <c r="S98" i="166"/>
  <c r="R98" i="166"/>
  <c r="R48" i="166"/>
  <c r="R47" i="166" s="1"/>
  <c r="AF32" i="166"/>
  <c r="AG32" i="166"/>
  <c r="W98" i="166"/>
  <c r="V98" i="166"/>
  <c r="N20" i="166"/>
  <c r="AF49" i="166"/>
  <c r="AE48" i="166"/>
  <c r="AG49" i="166"/>
  <c r="O98" i="166"/>
  <c r="N98" i="166"/>
  <c r="F20" i="166"/>
  <c r="F16" i="166"/>
  <c r="G16" i="166"/>
  <c r="G98" i="166"/>
  <c r="F98" i="166"/>
  <c r="X98" i="166"/>
  <c r="J98" i="166"/>
  <c r="K98" i="166"/>
  <c r="AG26" i="166"/>
  <c r="AF26" i="166"/>
  <c r="W16" i="166"/>
  <c r="V16" i="166"/>
  <c r="AG94" i="166"/>
  <c r="AF94" i="166"/>
  <c r="AF75" i="166"/>
  <c r="AG75" i="166"/>
  <c r="AA69" i="166"/>
  <c r="AI69" i="166"/>
  <c r="AF61" i="166"/>
  <c r="AG61" i="166"/>
  <c r="AA44" i="166"/>
  <c r="Z44" i="166"/>
  <c r="AI62" i="166"/>
  <c r="AA62" i="166"/>
  <c r="AG52" i="166"/>
  <c r="AF52" i="166"/>
  <c r="AI50" i="166"/>
  <c r="Z50" i="166"/>
  <c r="AA50" i="166"/>
  <c r="O100" i="166"/>
  <c r="N100" i="166"/>
  <c r="AG41" i="166"/>
  <c r="AF41" i="166"/>
  <c r="S99" i="166"/>
  <c r="R99" i="166"/>
  <c r="Z32" i="166"/>
  <c r="AA32" i="166"/>
  <c r="J53" i="166"/>
  <c r="J48" i="166" s="1"/>
  <c r="J47" i="166" s="1"/>
  <c r="W48" i="166"/>
  <c r="U47" i="166"/>
  <c r="W47" i="166" s="1"/>
  <c r="Z38" i="166"/>
  <c r="AI38" i="166"/>
  <c r="AA38" i="166"/>
  <c r="O99" i="166"/>
  <c r="N99" i="166"/>
  <c r="AG22" i="166"/>
  <c r="AF22" i="166"/>
  <c r="AE21" i="166"/>
  <c r="AE98" i="166"/>
  <c r="AE99" i="166"/>
  <c r="AF28" i="166"/>
  <c r="AE27" i="166"/>
  <c r="AG28" i="166"/>
  <c r="G99" i="166"/>
  <c r="F99" i="166"/>
  <c r="J27" i="166"/>
  <c r="J20" i="166" s="1"/>
  <c r="K99" i="166"/>
  <c r="J99" i="166"/>
  <c r="W21" i="166"/>
  <c r="U20" i="166"/>
  <c r="S16" i="166"/>
  <c r="R16" i="166"/>
  <c r="X14" i="166"/>
  <c r="Z14" i="166" s="1"/>
  <c r="E20" i="166"/>
  <c r="AG78" i="166"/>
  <c r="AF78" i="166"/>
  <c r="AG42" i="166"/>
  <c r="AF42" i="166"/>
  <c r="AA78" i="166"/>
  <c r="AI78" i="166"/>
  <c r="AI76" i="166"/>
  <c r="AA76" i="166"/>
  <c r="AI60" i="166"/>
  <c r="AA60" i="166"/>
  <c r="K48" i="166"/>
  <c r="I47" i="166"/>
  <c r="K47" i="166" s="1"/>
  <c r="Y100" i="166"/>
  <c r="AI49" i="166"/>
  <c r="Z49" i="166"/>
  <c r="Y48" i="166"/>
  <c r="AA49" i="166"/>
  <c r="G48" i="166"/>
  <c r="E47" i="166"/>
  <c r="G47" i="166" s="1"/>
  <c r="AA40" i="166"/>
  <c r="Z40" i="166"/>
  <c r="AI40" i="166"/>
  <c r="Y98" i="166"/>
  <c r="Y99" i="166"/>
  <c r="Z28" i="166"/>
  <c r="Y27" i="166"/>
  <c r="Y20" i="166" s="1"/>
  <c r="AA28" i="166"/>
  <c r="AD98" i="166"/>
  <c r="AD99" i="166"/>
  <c r="AD27" i="166"/>
  <c r="AD20" i="166" s="1"/>
  <c r="AD83" i="166" s="1"/>
  <c r="AD87" i="166" s="1"/>
  <c r="Z24" i="166"/>
  <c r="AA24" i="166"/>
  <c r="AI24" i="166"/>
  <c r="Q20" i="166"/>
  <c r="S21" i="166"/>
  <c r="J14" i="166"/>
  <c r="I16" i="166"/>
  <c r="K14" i="166"/>
  <c r="I20" i="166"/>
  <c r="K27" i="166"/>
  <c r="O16" i="166"/>
  <c r="N16" i="166"/>
  <c r="V14" i="166"/>
  <c r="I16" i="165"/>
  <c r="O14" i="165"/>
  <c r="K14" i="165"/>
  <c r="J14" i="165"/>
  <c r="Q78" i="165"/>
  <c r="P78" i="165"/>
  <c r="Q70" i="165"/>
  <c r="P70" i="165"/>
  <c r="S52" i="165"/>
  <c r="K52" i="165"/>
  <c r="J52" i="165"/>
  <c r="Q96" i="165"/>
  <c r="P96" i="165"/>
  <c r="O94" i="165"/>
  <c r="O98" i="165" s="1"/>
  <c r="K44" i="165"/>
  <c r="J44" i="165"/>
  <c r="J54" i="165"/>
  <c r="S54" i="165"/>
  <c r="I53" i="165"/>
  <c r="K54" i="165"/>
  <c r="K62" i="165"/>
  <c r="S62" i="165"/>
  <c r="S61" i="165"/>
  <c r="K61" i="165"/>
  <c r="F53" i="165"/>
  <c r="F48" i="165" s="1"/>
  <c r="F47" i="165" s="1"/>
  <c r="P32" i="165"/>
  <c r="Q32" i="165"/>
  <c r="P24" i="165"/>
  <c r="Q24" i="165"/>
  <c r="Q49" i="165"/>
  <c r="K39" i="165"/>
  <c r="J39" i="165"/>
  <c r="K34" i="165"/>
  <c r="J34" i="165"/>
  <c r="I33" i="165"/>
  <c r="K22" i="165"/>
  <c r="I21" i="165"/>
  <c r="J22" i="165"/>
  <c r="S40" i="165"/>
  <c r="K40" i="165"/>
  <c r="J40" i="165"/>
  <c r="G99" i="165"/>
  <c r="F99" i="165"/>
  <c r="P75" i="165"/>
  <c r="Q75" i="165"/>
  <c r="Q59" i="165"/>
  <c r="P59" i="165"/>
  <c r="I100" i="165"/>
  <c r="S49" i="165"/>
  <c r="K49" i="165"/>
  <c r="J49" i="165"/>
  <c r="I48" i="165"/>
  <c r="E20" i="165"/>
  <c r="G21" i="165"/>
  <c r="J32" i="165"/>
  <c r="K32" i="165"/>
  <c r="O99" i="165"/>
  <c r="P28" i="165"/>
  <c r="O27" i="165"/>
  <c r="Q28" i="165"/>
  <c r="J24" i="165"/>
  <c r="S24" i="165"/>
  <c r="K24" i="165"/>
  <c r="Q38" i="165"/>
  <c r="P38" i="165"/>
  <c r="P52" i="165"/>
  <c r="Q52" i="165"/>
  <c r="Q42" i="165"/>
  <c r="P42" i="165"/>
  <c r="S78" i="165"/>
  <c r="K78" i="165"/>
  <c r="K69" i="165"/>
  <c r="S69" i="165"/>
  <c r="P68" i="165"/>
  <c r="Q68" i="165"/>
  <c r="K42" i="165"/>
  <c r="J42" i="165"/>
  <c r="Q60" i="165"/>
  <c r="P60" i="165"/>
  <c r="Q57" i="165"/>
  <c r="P57" i="165"/>
  <c r="S50" i="165"/>
  <c r="K50" i="165"/>
  <c r="J50" i="165"/>
  <c r="K26" i="165"/>
  <c r="J26" i="165"/>
  <c r="S59" i="165"/>
  <c r="K59" i="165"/>
  <c r="P49" i="165"/>
  <c r="J37" i="165"/>
  <c r="I36" i="165"/>
  <c r="K37" i="165"/>
  <c r="I98" i="165"/>
  <c r="I99" i="165"/>
  <c r="J28" i="165"/>
  <c r="I27" i="165"/>
  <c r="K28" i="165"/>
  <c r="Q61" i="165"/>
  <c r="P61" i="165"/>
  <c r="K38" i="165"/>
  <c r="J38" i="165"/>
  <c r="S38" i="165"/>
  <c r="O100" i="165"/>
  <c r="Q29" i="165"/>
  <c r="P29" i="165"/>
  <c r="N98" i="165"/>
  <c r="N99" i="165"/>
  <c r="N27" i="165"/>
  <c r="N20" i="165" s="1"/>
  <c r="N83" i="165" s="1"/>
  <c r="N87" i="165" s="1"/>
  <c r="F16" i="165"/>
  <c r="G16" i="165"/>
  <c r="Q97" i="165"/>
  <c r="P97" i="165"/>
  <c r="K46" i="165"/>
  <c r="J46" i="165"/>
  <c r="K75" i="165"/>
  <c r="S75" i="165"/>
  <c r="Q62" i="165"/>
  <c r="P62" i="165"/>
  <c r="K60" i="165"/>
  <c r="S60" i="165"/>
  <c r="O53" i="165"/>
  <c r="Q36" i="165"/>
  <c r="P36" i="165"/>
  <c r="Q39" i="165"/>
  <c r="P39" i="165"/>
  <c r="Q34" i="165"/>
  <c r="P34" i="165"/>
  <c r="O33" i="165"/>
  <c r="K29" i="165"/>
  <c r="J29" i="165"/>
  <c r="Q22" i="165"/>
  <c r="P22" i="165"/>
  <c r="O21" i="165"/>
  <c r="Q41" i="165"/>
  <c r="P41" i="165"/>
  <c r="G98" i="165"/>
  <c r="F98" i="165"/>
  <c r="K27" i="164"/>
  <c r="J27" i="164"/>
  <c r="Q97" i="164"/>
  <c r="P97" i="164"/>
  <c r="Q96" i="164"/>
  <c r="P96" i="164"/>
  <c r="O94" i="164"/>
  <c r="O98" i="164" s="1"/>
  <c r="Q68" i="164"/>
  <c r="P68" i="164"/>
  <c r="K42" i="164"/>
  <c r="J42" i="164"/>
  <c r="K68" i="164"/>
  <c r="S68" i="164"/>
  <c r="K58" i="164"/>
  <c r="S58" i="164"/>
  <c r="K41" i="164"/>
  <c r="J41" i="164"/>
  <c r="S41" i="164"/>
  <c r="S38" i="164"/>
  <c r="K38" i="164"/>
  <c r="J38" i="164"/>
  <c r="P34" i="164"/>
  <c r="O33" i="164"/>
  <c r="Q34" i="164"/>
  <c r="H98" i="164"/>
  <c r="J98" i="164" s="1"/>
  <c r="G14" i="164"/>
  <c r="F14" i="164"/>
  <c r="E16" i="164"/>
  <c r="P39" i="164"/>
  <c r="Q39" i="164"/>
  <c r="S62" i="164"/>
  <c r="K62" i="164"/>
  <c r="Q61" i="164"/>
  <c r="P61" i="164"/>
  <c r="Q36" i="164"/>
  <c r="P36" i="164"/>
  <c r="K94" i="164"/>
  <c r="K52" i="164"/>
  <c r="S52" i="164"/>
  <c r="J52" i="164"/>
  <c r="K46" i="164"/>
  <c r="J46" i="164"/>
  <c r="Q60" i="164"/>
  <c r="P60" i="164"/>
  <c r="Q49" i="164"/>
  <c r="Q41" i="164"/>
  <c r="P41" i="164"/>
  <c r="I33" i="164"/>
  <c r="K34" i="164"/>
  <c r="J34" i="164"/>
  <c r="F98" i="164"/>
  <c r="G98" i="164"/>
  <c r="K60" i="164"/>
  <c r="S60" i="164"/>
  <c r="K40" i="164"/>
  <c r="S40" i="164"/>
  <c r="J40" i="164"/>
  <c r="S51" i="164"/>
  <c r="K51" i="164"/>
  <c r="K43" i="164"/>
  <c r="J43" i="164"/>
  <c r="I36" i="164"/>
  <c r="K37" i="164"/>
  <c r="J37" i="164"/>
  <c r="K26" i="164"/>
  <c r="J26" i="164"/>
  <c r="H20" i="164"/>
  <c r="H83" i="164" s="1"/>
  <c r="H87" i="164" s="1"/>
  <c r="Q78" i="164"/>
  <c r="P78" i="164"/>
  <c r="K78" i="164"/>
  <c r="S78" i="164"/>
  <c r="K44" i="164"/>
  <c r="J44" i="164"/>
  <c r="Q71" i="164"/>
  <c r="P71" i="164"/>
  <c r="J54" i="164"/>
  <c r="S54" i="164"/>
  <c r="K54" i="164"/>
  <c r="I53" i="164"/>
  <c r="J29" i="164"/>
  <c r="K29" i="164"/>
  <c r="N98" i="164"/>
  <c r="N99" i="164"/>
  <c r="N27" i="164"/>
  <c r="N20" i="164" s="1"/>
  <c r="N83" i="164" s="1"/>
  <c r="N87" i="164" s="1"/>
  <c r="G99" i="164"/>
  <c r="F99" i="164"/>
  <c r="P54" i="164"/>
  <c r="Q54" i="164"/>
  <c r="O53" i="164"/>
  <c r="Q52" i="164"/>
  <c r="P52" i="164"/>
  <c r="S50" i="164"/>
  <c r="J50" i="164"/>
  <c r="K50" i="164"/>
  <c r="Q43" i="164"/>
  <c r="P43" i="164"/>
  <c r="Q26" i="164"/>
  <c r="P26" i="164"/>
  <c r="K22" i="164"/>
  <c r="I21" i="164"/>
  <c r="J22" i="164"/>
  <c r="O99" i="164"/>
  <c r="Q28" i="164"/>
  <c r="P28" i="164"/>
  <c r="O27" i="164"/>
  <c r="K71" i="164"/>
  <c r="S71" i="164"/>
  <c r="Q42" i="164"/>
  <c r="P42" i="164"/>
  <c r="K69" i="164"/>
  <c r="S69" i="164"/>
  <c r="S70" i="164"/>
  <c r="K70" i="164"/>
  <c r="I16" i="164"/>
  <c r="O14" i="164"/>
  <c r="K14" i="164"/>
  <c r="J14" i="164"/>
  <c r="P49" i="164"/>
  <c r="Q58" i="164"/>
  <c r="P58" i="164"/>
  <c r="I100" i="164"/>
  <c r="S49" i="164"/>
  <c r="J49" i="164"/>
  <c r="K49" i="164"/>
  <c r="Q40" i="164"/>
  <c r="P40" i="164"/>
  <c r="K32" i="164"/>
  <c r="J32" i="164"/>
  <c r="S24" i="164"/>
  <c r="J24" i="164"/>
  <c r="K24" i="164"/>
  <c r="O21" i="164"/>
  <c r="Q22" i="164"/>
  <c r="P22" i="164"/>
  <c r="O100" i="164"/>
  <c r="J99" i="164"/>
  <c r="K99" i="164"/>
  <c r="H16" i="164"/>
  <c r="N14" i="164"/>
  <c r="N16" i="164" s="1"/>
  <c r="E42" i="162"/>
  <c r="E86" i="162"/>
  <c r="E84" i="162"/>
  <c r="F20" i="167" l="1"/>
  <c r="K98" i="164"/>
  <c r="G44" i="167"/>
  <c r="E43" i="167"/>
  <c r="G43" i="167" s="1"/>
  <c r="G20" i="167"/>
  <c r="Z20" i="166"/>
  <c r="AA20" i="166"/>
  <c r="K16" i="166"/>
  <c r="J16" i="166"/>
  <c r="AA100" i="166"/>
  <c r="Z100" i="166"/>
  <c r="AG98" i="166"/>
  <c r="AF98" i="166"/>
  <c r="AG48" i="166"/>
  <c r="AG47" i="166" s="1"/>
  <c r="AE47" i="166"/>
  <c r="AF48" i="166"/>
  <c r="AF47" i="166" s="1"/>
  <c r="Z99" i="166"/>
  <c r="AA99" i="166"/>
  <c r="AA48" i="166"/>
  <c r="AA47" i="166" s="1"/>
  <c r="Y47" i="166"/>
  <c r="Y83" i="166" s="1"/>
  <c r="Z48" i="166"/>
  <c r="Z47" i="166" s="1"/>
  <c r="E83" i="166"/>
  <c r="G20" i="166"/>
  <c r="U83" i="166"/>
  <c r="W20" i="166"/>
  <c r="AG27" i="166"/>
  <c r="AF27" i="166"/>
  <c r="AG21" i="166"/>
  <c r="AF21" i="166"/>
  <c r="AE20" i="166"/>
  <c r="I83" i="166"/>
  <c r="K20" i="166"/>
  <c r="AA98" i="166"/>
  <c r="Z98" i="166"/>
  <c r="X16" i="166"/>
  <c r="AA16" i="166" s="1"/>
  <c r="AD14" i="166"/>
  <c r="AD16" i="166" s="1"/>
  <c r="AG100" i="166"/>
  <c r="AF100" i="166"/>
  <c r="Z53" i="166"/>
  <c r="AA53" i="166"/>
  <c r="AF53" i="166"/>
  <c r="AG53" i="166"/>
  <c r="AA14" i="166"/>
  <c r="Q83" i="166"/>
  <c r="S20" i="166"/>
  <c r="Z27" i="166"/>
  <c r="AA27" i="166"/>
  <c r="AF99" i="166"/>
  <c r="AG99" i="166"/>
  <c r="M83" i="166"/>
  <c r="O20" i="166"/>
  <c r="AG14" i="166"/>
  <c r="AE15" i="166"/>
  <c r="AE16" i="166" s="1"/>
  <c r="AF14" i="166"/>
  <c r="Q33" i="165"/>
  <c r="P33" i="165"/>
  <c r="Q100" i="165"/>
  <c r="P100" i="165"/>
  <c r="K27" i="165"/>
  <c r="J27" i="165"/>
  <c r="Q27" i="165"/>
  <c r="P27" i="165"/>
  <c r="K48" i="165"/>
  <c r="K47" i="165" s="1"/>
  <c r="I47" i="165"/>
  <c r="J48" i="165"/>
  <c r="J47" i="165" s="1"/>
  <c r="K100" i="165"/>
  <c r="J100" i="165"/>
  <c r="Q94" i="165"/>
  <c r="P94" i="165"/>
  <c r="Q53" i="165"/>
  <c r="P53" i="165"/>
  <c r="K36" i="165"/>
  <c r="J36" i="165"/>
  <c r="O15" i="165"/>
  <c r="O16" i="165" s="1"/>
  <c r="P14" i="165"/>
  <c r="Q14" i="165"/>
  <c r="J99" i="165"/>
  <c r="K99" i="165"/>
  <c r="P99" i="165"/>
  <c r="Q99" i="165"/>
  <c r="J16" i="165"/>
  <c r="K16" i="165"/>
  <c r="Q21" i="165"/>
  <c r="O20" i="165"/>
  <c r="P21" i="165"/>
  <c r="K98" i="165"/>
  <c r="J98" i="165"/>
  <c r="Q98" i="165"/>
  <c r="P98" i="165"/>
  <c r="E83" i="165"/>
  <c r="K21" i="165"/>
  <c r="J21" i="165"/>
  <c r="I20" i="165"/>
  <c r="K33" i="165"/>
  <c r="J33" i="165"/>
  <c r="K53" i="165"/>
  <c r="J53" i="165"/>
  <c r="O48" i="165"/>
  <c r="K16" i="164"/>
  <c r="J16" i="164"/>
  <c r="Q21" i="164"/>
  <c r="O20" i="164"/>
  <c r="P21" i="164"/>
  <c r="K100" i="164"/>
  <c r="J100" i="164"/>
  <c r="Q27" i="164"/>
  <c r="P27" i="164"/>
  <c r="Q98" i="164"/>
  <c r="P98" i="164"/>
  <c r="Q94" i="164"/>
  <c r="P94" i="164"/>
  <c r="P99" i="164"/>
  <c r="Q99" i="164"/>
  <c r="P53" i="164"/>
  <c r="Q53" i="164"/>
  <c r="O48" i="164"/>
  <c r="J53" i="164"/>
  <c r="K53" i="164"/>
  <c r="J36" i="164"/>
  <c r="K36" i="164"/>
  <c r="Q100" i="164"/>
  <c r="P100" i="164"/>
  <c r="I48" i="164"/>
  <c r="Q33" i="164"/>
  <c r="P33" i="164"/>
  <c r="Q14" i="164"/>
  <c r="P14" i="164"/>
  <c r="O15" i="164"/>
  <c r="O16" i="164" s="1"/>
  <c r="K21" i="164"/>
  <c r="I20" i="164"/>
  <c r="J21" i="164"/>
  <c r="J33" i="164"/>
  <c r="K33" i="164"/>
  <c r="F16" i="164"/>
  <c r="G16" i="164"/>
  <c r="E79" i="167" l="1"/>
  <c r="E83" i="167"/>
  <c r="F79" i="167"/>
  <c r="G79" i="167"/>
  <c r="AF16" i="166"/>
  <c r="AG16" i="166"/>
  <c r="Y87" i="166"/>
  <c r="AA83" i="166"/>
  <c r="Z83" i="166"/>
  <c r="M87" i="166"/>
  <c r="O83" i="166"/>
  <c r="N83" i="166"/>
  <c r="AE83" i="166"/>
  <c r="AG20" i="166"/>
  <c r="AF20" i="166"/>
  <c r="E87" i="166"/>
  <c r="G83" i="166"/>
  <c r="F83" i="166"/>
  <c r="Q87" i="166"/>
  <c r="S83" i="166"/>
  <c r="R83" i="166"/>
  <c r="U87" i="166"/>
  <c r="W83" i="166"/>
  <c r="V83" i="166"/>
  <c r="Z16" i="166"/>
  <c r="I87" i="166"/>
  <c r="K83" i="166"/>
  <c r="J83" i="166"/>
  <c r="Q16" i="165"/>
  <c r="P16" i="165"/>
  <c r="P20" i="165"/>
  <c r="Q20" i="165"/>
  <c r="I83" i="165"/>
  <c r="K20" i="165"/>
  <c r="J20" i="165"/>
  <c r="Q48" i="165"/>
  <c r="Q47" i="165" s="1"/>
  <c r="P48" i="165"/>
  <c r="P47" i="165" s="1"/>
  <c r="O47" i="165"/>
  <c r="O83" i="165" s="1"/>
  <c r="E87" i="165"/>
  <c r="F83" i="165"/>
  <c r="G83" i="165"/>
  <c r="Q16" i="164"/>
  <c r="P16" i="164"/>
  <c r="Q20" i="164"/>
  <c r="P20" i="164"/>
  <c r="Q48" i="164"/>
  <c r="Q47" i="164" s="1"/>
  <c r="O47" i="164"/>
  <c r="O83" i="164" s="1"/>
  <c r="P48" i="164"/>
  <c r="P47" i="164" s="1"/>
  <c r="K20" i="164"/>
  <c r="J20" i="164"/>
  <c r="K48" i="164"/>
  <c r="K47" i="164" s="1"/>
  <c r="I47" i="164"/>
  <c r="I83" i="164" s="1"/>
  <c r="J48" i="164"/>
  <c r="J47" i="164" s="1"/>
  <c r="F52" i="162"/>
  <c r="G52" i="162"/>
  <c r="F53" i="162"/>
  <c r="G53" i="162"/>
  <c r="F59" i="162"/>
  <c r="G59" i="162"/>
  <c r="F62" i="162"/>
  <c r="G62" i="162"/>
  <c r="F63" i="162"/>
  <c r="G63" i="162"/>
  <c r="F68" i="162"/>
  <c r="G68" i="162"/>
  <c r="F69" i="162"/>
  <c r="G69" i="162"/>
  <c r="F70" i="162"/>
  <c r="G70" i="162"/>
  <c r="F73" i="162"/>
  <c r="E37" i="162"/>
  <c r="E38" i="162"/>
  <c r="E39" i="162"/>
  <c r="E40" i="162"/>
  <c r="E41" i="162"/>
  <c r="E24" i="162"/>
  <c r="D27" i="162"/>
  <c r="H32" i="162"/>
  <c r="H49" i="162"/>
  <c r="L43" i="162"/>
  <c r="M43" i="162"/>
  <c r="E114" i="162"/>
  <c r="E72" i="162"/>
  <c r="F72" i="162" s="1"/>
  <c r="E48" i="162"/>
  <c r="E34" i="162"/>
  <c r="E33" i="162" s="1"/>
  <c r="E31" i="162"/>
  <c r="I31" i="162" s="1"/>
  <c r="E30" i="162"/>
  <c r="I30" i="162" s="1"/>
  <c r="E29" i="162"/>
  <c r="I29" i="162" s="1"/>
  <c r="E28" i="162"/>
  <c r="E22" i="162"/>
  <c r="E117" i="162"/>
  <c r="E36" i="162" l="1"/>
  <c r="E27" i="162"/>
  <c r="G27" i="162" s="1"/>
  <c r="E88" i="167"/>
  <c r="F83" i="167"/>
  <c r="G83" i="167"/>
  <c r="E92" i="166"/>
  <c r="F87" i="166"/>
  <c r="G87" i="166"/>
  <c r="Q92" i="166"/>
  <c r="R87" i="166"/>
  <c r="S87" i="166"/>
  <c r="AH88" i="166"/>
  <c r="AH90" i="166" s="1"/>
  <c r="Z87" i="166"/>
  <c r="AA87" i="166"/>
  <c r="E119" i="166"/>
  <c r="E122" i="166" s="1"/>
  <c r="I92" i="166"/>
  <c r="J87" i="166"/>
  <c r="K87" i="166"/>
  <c r="U92" i="166"/>
  <c r="V87" i="166"/>
  <c r="W87" i="166"/>
  <c r="M92" i="166"/>
  <c r="N87" i="166"/>
  <c r="O87" i="166"/>
  <c r="AG83" i="166"/>
  <c r="AE87" i="166"/>
  <c r="AF83" i="166"/>
  <c r="Q83" i="165"/>
  <c r="P83" i="165"/>
  <c r="O87" i="165"/>
  <c r="G87" i="165"/>
  <c r="E92" i="165"/>
  <c r="F87" i="165"/>
  <c r="I87" i="165"/>
  <c r="J83" i="165"/>
  <c r="K83" i="165"/>
  <c r="F31" i="162"/>
  <c r="G72" i="162"/>
  <c r="I28" i="162"/>
  <c r="I27" i="162" s="1"/>
  <c r="F30" i="162"/>
  <c r="E21" i="162"/>
  <c r="Q83" i="164"/>
  <c r="O87" i="164"/>
  <c r="P83" i="164"/>
  <c r="I87" i="164"/>
  <c r="K83" i="164"/>
  <c r="J83" i="164"/>
  <c r="G88" i="167" l="1"/>
  <c r="F88" i="167"/>
  <c r="AG87" i="166"/>
  <c r="AF87" i="166"/>
  <c r="O92" i="166"/>
  <c r="N92" i="166"/>
  <c r="G92" i="166"/>
  <c r="F92" i="166"/>
  <c r="S92" i="166"/>
  <c r="R92" i="166"/>
  <c r="K92" i="166"/>
  <c r="J92" i="166"/>
  <c r="W92" i="166"/>
  <c r="V92" i="166"/>
  <c r="R88" i="165"/>
  <c r="R90" i="165" s="1"/>
  <c r="K87" i="165"/>
  <c r="J87" i="165"/>
  <c r="G92" i="165"/>
  <c r="F92" i="165"/>
  <c r="Q87" i="165"/>
  <c r="P87" i="165"/>
  <c r="R88" i="164"/>
  <c r="R90" i="164" s="1"/>
  <c r="J87" i="164"/>
  <c r="K87" i="164"/>
  <c r="Q87" i="164"/>
  <c r="P87" i="164"/>
  <c r="G28" i="162"/>
  <c r="I37" i="162"/>
  <c r="D96" i="162"/>
  <c r="E95" i="162"/>
  <c r="D95" i="162"/>
  <c r="I93" i="162"/>
  <c r="O93" i="162" s="1"/>
  <c r="H93" i="162"/>
  <c r="G93" i="162"/>
  <c r="F93" i="162"/>
  <c r="I92" i="162"/>
  <c r="H92" i="162"/>
  <c r="N92" i="162" s="1"/>
  <c r="G92" i="162"/>
  <c r="F92" i="162"/>
  <c r="J91" i="162"/>
  <c r="G91" i="162"/>
  <c r="F91" i="162"/>
  <c r="E90" i="162"/>
  <c r="D90" i="162"/>
  <c r="G89" i="162"/>
  <c r="F89" i="162"/>
  <c r="L88" i="162"/>
  <c r="O87" i="162"/>
  <c r="N87" i="162"/>
  <c r="G87" i="162"/>
  <c r="F87" i="162"/>
  <c r="N86" i="162"/>
  <c r="G86" i="162"/>
  <c r="F86" i="162"/>
  <c r="R85" i="162"/>
  <c r="N85" i="162"/>
  <c r="G85" i="162"/>
  <c r="F85" i="162"/>
  <c r="G84" i="162"/>
  <c r="F84" i="162"/>
  <c r="R83" i="162"/>
  <c r="O81" i="162"/>
  <c r="H81" i="162"/>
  <c r="G81" i="162"/>
  <c r="F81" i="162"/>
  <c r="N80" i="162"/>
  <c r="I80" i="162"/>
  <c r="H80" i="162"/>
  <c r="G80" i="162"/>
  <c r="F80" i="162"/>
  <c r="L79" i="162"/>
  <c r="P78" i="162"/>
  <c r="N77" i="162"/>
  <c r="O76" i="162"/>
  <c r="N76" i="162"/>
  <c r="I76" i="162"/>
  <c r="K76" i="162" s="1"/>
  <c r="O75" i="162"/>
  <c r="N75" i="162"/>
  <c r="I75" i="162"/>
  <c r="K75" i="162" s="1"/>
  <c r="N74" i="162"/>
  <c r="E74" i="162"/>
  <c r="I74" i="162" s="1"/>
  <c r="N73" i="162"/>
  <c r="I73" i="162"/>
  <c r="K73" i="162" s="1"/>
  <c r="O72" i="162"/>
  <c r="N72" i="162"/>
  <c r="I72" i="162"/>
  <c r="K72" i="162" s="1"/>
  <c r="N71" i="162"/>
  <c r="E71" i="162"/>
  <c r="O70" i="162"/>
  <c r="Q70" i="162" s="1"/>
  <c r="N70" i="162"/>
  <c r="I70" i="162"/>
  <c r="K70" i="162" s="1"/>
  <c r="O69" i="162"/>
  <c r="N69" i="162"/>
  <c r="Q69" i="162" s="1"/>
  <c r="I69" i="162"/>
  <c r="O68" i="162"/>
  <c r="Q68" i="162" s="1"/>
  <c r="N68" i="162"/>
  <c r="I68" i="162"/>
  <c r="N67" i="162"/>
  <c r="E67" i="162"/>
  <c r="N66" i="162"/>
  <c r="E66" i="162"/>
  <c r="F66" i="162" s="1"/>
  <c r="N65" i="162"/>
  <c r="E65" i="162"/>
  <c r="F65" i="162" s="1"/>
  <c r="N64" i="162"/>
  <c r="E64" i="162"/>
  <c r="O63" i="162"/>
  <c r="N63" i="162"/>
  <c r="I63" i="162"/>
  <c r="K63" i="162" s="1"/>
  <c r="O62" i="162"/>
  <c r="Q62" i="162" s="1"/>
  <c r="N62" i="162"/>
  <c r="I62" i="162"/>
  <c r="K62" i="162" s="1"/>
  <c r="N61" i="162"/>
  <c r="I61" i="162"/>
  <c r="E61" i="162"/>
  <c r="F61" i="162" s="1"/>
  <c r="N60" i="162"/>
  <c r="E60" i="162"/>
  <c r="F60" i="162" s="1"/>
  <c r="O59" i="162"/>
  <c r="N59" i="162"/>
  <c r="I59" i="162"/>
  <c r="K59" i="162" s="1"/>
  <c r="N58" i="162"/>
  <c r="I58" i="162"/>
  <c r="E58" i="162"/>
  <c r="N57" i="162"/>
  <c r="E57" i="162"/>
  <c r="N56" i="162"/>
  <c r="E56" i="162"/>
  <c r="N55" i="162"/>
  <c r="E55" i="162"/>
  <c r="F55" i="162" s="1"/>
  <c r="N54" i="162"/>
  <c r="E54" i="162"/>
  <c r="O53" i="162"/>
  <c r="N53" i="162"/>
  <c r="I53" i="162"/>
  <c r="K53" i="162" s="1"/>
  <c r="O52" i="162"/>
  <c r="N52" i="162"/>
  <c r="I52" i="162"/>
  <c r="K52" i="162" s="1"/>
  <c r="S51" i="162"/>
  <c r="O51" i="162"/>
  <c r="N50" i="162"/>
  <c r="E50" i="162"/>
  <c r="D49" i="162"/>
  <c r="D44" i="162" s="1"/>
  <c r="H48" i="162"/>
  <c r="N48" i="162" s="1"/>
  <c r="G48" i="162"/>
  <c r="F48" i="162"/>
  <c r="H47" i="162"/>
  <c r="E47" i="162"/>
  <c r="I47" i="162" s="1"/>
  <c r="H46" i="162"/>
  <c r="N46" i="162" s="1"/>
  <c r="E46" i="162"/>
  <c r="O46" i="162" s="1"/>
  <c r="H45" i="162"/>
  <c r="H44" i="162" s="1"/>
  <c r="H43" i="162" s="1"/>
  <c r="E45" i="162"/>
  <c r="O45" i="162" s="1"/>
  <c r="O42" i="162"/>
  <c r="I42" i="162"/>
  <c r="J42" i="162" s="1"/>
  <c r="H42" i="162"/>
  <c r="N42" i="162" s="1"/>
  <c r="G42" i="162"/>
  <c r="F42" i="162"/>
  <c r="I41" i="162"/>
  <c r="H41" i="162"/>
  <c r="G41" i="162"/>
  <c r="H40" i="162"/>
  <c r="N40" i="162" s="1"/>
  <c r="G40" i="162"/>
  <c r="F40" i="162"/>
  <c r="H39" i="162"/>
  <c r="N39" i="162" s="1"/>
  <c r="G39" i="162"/>
  <c r="F39" i="162"/>
  <c r="H38" i="162"/>
  <c r="N38" i="162" s="1"/>
  <c r="G38" i="162"/>
  <c r="F38" i="162"/>
  <c r="O37" i="162"/>
  <c r="P37" i="162" s="1"/>
  <c r="H37" i="162"/>
  <c r="N37" i="162" s="1"/>
  <c r="F37" i="162"/>
  <c r="M36" i="162"/>
  <c r="L36" i="162"/>
  <c r="D36" i="162"/>
  <c r="G36" i="162" s="1"/>
  <c r="H34" i="162"/>
  <c r="G34" i="162"/>
  <c r="F34" i="162"/>
  <c r="F33" i="162" s="1"/>
  <c r="D33" i="162"/>
  <c r="G33" i="162" s="1"/>
  <c r="N32" i="162"/>
  <c r="E32" i="162"/>
  <c r="O31" i="162"/>
  <c r="H29" i="162"/>
  <c r="N29" i="162" s="1"/>
  <c r="O29" i="162"/>
  <c r="G29" i="162"/>
  <c r="F29" i="162"/>
  <c r="H28" i="162"/>
  <c r="H27" i="162" s="1"/>
  <c r="F28" i="162"/>
  <c r="H26" i="162"/>
  <c r="N26" i="162" s="1"/>
  <c r="O26" i="162"/>
  <c r="G26" i="162"/>
  <c r="F26" i="162"/>
  <c r="O25" i="162"/>
  <c r="N25" i="162"/>
  <c r="H24" i="162"/>
  <c r="N24" i="162" s="1"/>
  <c r="G24" i="162"/>
  <c r="F24" i="162"/>
  <c r="I24" i="162"/>
  <c r="N23" i="162"/>
  <c r="O23" i="162"/>
  <c r="H22" i="162"/>
  <c r="H21" i="162" s="1"/>
  <c r="I22" i="162"/>
  <c r="G22" i="162"/>
  <c r="F22" i="162"/>
  <c r="M21" i="162"/>
  <c r="L21" i="162"/>
  <c r="L20" i="162" s="1"/>
  <c r="D21" i="162"/>
  <c r="E15" i="162"/>
  <c r="I15" i="162" s="1"/>
  <c r="M14" i="162"/>
  <c r="M16" i="162" s="1"/>
  <c r="L14" i="162"/>
  <c r="L16" i="162" s="1"/>
  <c r="E14" i="162"/>
  <c r="P76" i="162" l="1"/>
  <c r="O47" i="162"/>
  <c r="F47" i="162"/>
  <c r="P75" i="162"/>
  <c r="E16" i="162"/>
  <c r="G16" i="162" s="1"/>
  <c r="K47" i="162"/>
  <c r="P70" i="162"/>
  <c r="Q72" i="162"/>
  <c r="K92" i="162"/>
  <c r="Q63" i="162"/>
  <c r="Q75" i="162"/>
  <c r="F16" i="162"/>
  <c r="O32" i="162"/>
  <c r="Q32" i="162" s="1"/>
  <c r="G32" i="162"/>
  <c r="I32" i="162"/>
  <c r="F45" i="162"/>
  <c r="G46" i="162"/>
  <c r="N49" i="162"/>
  <c r="I57" i="162"/>
  <c r="K57" i="162" s="1"/>
  <c r="F57" i="162"/>
  <c r="G57" i="162"/>
  <c r="P62" i="162"/>
  <c r="F64" i="162"/>
  <c r="G64" i="162"/>
  <c r="F71" i="162"/>
  <c r="G71" i="162"/>
  <c r="F27" i="162"/>
  <c r="N34" i="162"/>
  <c r="N33" i="162" s="1"/>
  <c r="H33" i="162"/>
  <c r="P69" i="162"/>
  <c r="I71" i="162"/>
  <c r="K71" i="162" s="1"/>
  <c r="P72" i="162"/>
  <c r="F74" i="162"/>
  <c r="G74" i="162"/>
  <c r="S47" i="162"/>
  <c r="G54" i="162"/>
  <c r="F54" i="162"/>
  <c r="I56" i="162"/>
  <c r="K56" i="162" s="1"/>
  <c r="F56" i="162"/>
  <c r="G56" i="162"/>
  <c r="F58" i="162"/>
  <c r="G58" i="162"/>
  <c r="F67" i="162"/>
  <c r="G67" i="162"/>
  <c r="Q76" i="162"/>
  <c r="F50" i="162"/>
  <c r="G50" i="162"/>
  <c r="E49" i="162"/>
  <c r="E44" i="162" s="1"/>
  <c r="E43" i="162" s="1"/>
  <c r="E20" i="162"/>
  <c r="G20" i="162" s="1"/>
  <c r="M20" i="162"/>
  <c r="M79" i="162" s="1"/>
  <c r="M83" i="162" s="1"/>
  <c r="M88" i="162" s="1"/>
  <c r="Q42" i="162"/>
  <c r="G90" i="162"/>
  <c r="E94" i="162"/>
  <c r="F90" i="162"/>
  <c r="H36" i="162"/>
  <c r="D43" i="162"/>
  <c r="K37" i="162"/>
  <c r="F21" i="162"/>
  <c r="D20" i="162"/>
  <c r="G21" i="162"/>
  <c r="J92" i="162"/>
  <c r="I90" i="162"/>
  <c r="K42" i="162"/>
  <c r="I21" i="162"/>
  <c r="S74" i="162"/>
  <c r="K74" i="162"/>
  <c r="O96" i="162"/>
  <c r="Q29" i="162"/>
  <c r="P29" i="162"/>
  <c r="P26" i="162"/>
  <c r="Q26" i="162"/>
  <c r="K24" i="162"/>
  <c r="J24" i="162"/>
  <c r="S24" i="162"/>
  <c r="P32" i="162"/>
  <c r="K22" i="162"/>
  <c r="J22" i="162"/>
  <c r="F32" i="162"/>
  <c r="O36" i="162"/>
  <c r="I38" i="162"/>
  <c r="I45" i="162"/>
  <c r="N45" i="162"/>
  <c r="N44" i="162" s="1"/>
  <c r="N43" i="162" s="1"/>
  <c r="H96" i="162"/>
  <c r="O56" i="162"/>
  <c r="O58" i="162"/>
  <c r="O66" i="162"/>
  <c r="O67" i="162"/>
  <c r="O71" i="162"/>
  <c r="O80" i="162"/>
  <c r="K80" i="162"/>
  <c r="J80" i="162"/>
  <c r="G95" i="162"/>
  <c r="F95" i="162"/>
  <c r="S61" i="162"/>
  <c r="K61" i="162"/>
  <c r="N22" i="162"/>
  <c r="N21" i="162" s="1"/>
  <c r="I26" i="162"/>
  <c r="O39" i="162"/>
  <c r="Q59" i="162"/>
  <c r="P59" i="162"/>
  <c r="O61" i="162"/>
  <c r="P61" i="162" s="1"/>
  <c r="Q87" i="162"/>
  <c r="P87" i="162"/>
  <c r="O40" i="162"/>
  <c r="O22" i="162"/>
  <c r="J37" i="162"/>
  <c r="O38" i="162"/>
  <c r="O41" i="162"/>
  <c r="Q53" i="162"/>
  <c r="P53" i="162"/>
  <c r="O60" i="162"/>
  <c r="H90" i="162"/>
  <c r="K90" i="162" s="1"/>
  <c r="N93" i="162"/>
  <c r="N90" i="162" s="1"/>
  <c r="J93" i="162"/>
  <c r="H95" i="162"/>
  <c r="N28" i="162"/>
  <c r="N41" i="162"/>
  <c r="N36" i="162" s="1"/>
  <c r="N81" i="162"/>
  <c r="Q81" i="162" s="1"/>
  <c r="K81" i="162"/>
  <c r="J81" i="162"/>
  <c r="O24" i="162"/>
  <c r="O28" i="162"/>
  <c r="K41" i="162"/>
  <c r="J41" i="162"/>
  <c r="Q46" i="162"/>
  <c r="P46" i="162"/>
  <c r="O48" i="162"/>
  <c r="S56" i="162"/>
  <c r="G94" i="162"/>
  <c r="F94" i="162"/>
  <c r="I14" i="162"/>
  <c r="I34" i="162"/>
  <c r="I33" i="162" s="1"/>
  <c r="Q37" i="162"/>
  <c r="I40" i="162"/>
  <c r="P42" i="162"/>
  <c r="O55" i="162"/>
  <c r="I55" i="162"/>
  <c r="S68" i="162"/>
  <c r="K68" i="162"/>
  <c r="I39" i="162"/>
  <c r="S41" i="162"/>
  <c r="S57" i="162"/>
  <c r="S58" i="162"/>
  <c r="K58" i="162"/>
  <c r="O65" i="162"/>
  <c r="I65" i="162"/>
  <c r="O74" i="162"/>
  <c r="O34" i="162"/>
  <c r="G45" i="162"/>
  <c r="I46" i="162"/>
  <c r="I54" i="162"/>
  <c r="O57" i="162"/>
  <c r="I64" i="162"/>
  <c r="S72" i="162"/>
  <c r="O73" i="162"/>
  <c r="O92" i="162"/>
  <c r="I50" i="162"/>
  <c r="I66" i="162"/>
  <c r="K93" i="162"/>
  <c r="E96" i="162"/>
  <c r="O54" i="162"/>
  <c r="I60" i="162"/>
  <c r="S60" i="162" s="1"/>
  <c r="P63" i="162"/>
  <c r="O64" i="162"/>
  <c r="I67" i="162"/>
  <c r="P68" i="162"/>
  <c r="S73" i="162"/>
  <c r="F46" i="162"/>
  <c r="I48" i="162"/>
  <c r="O50" i="162"/>
  <c r="F41" i="162"/>
  <c r="F36" i="162" s="1"/>
  <c r="G43" i="162" l="1"/>
  <c r="S71" i="162"/>
  <c r="G44" i="162"/>
  <c r="I49" i="162"/>
  <c r="I44" i="162" s="1"/>
  <c r="I43" i="162" s="1"/>
  <c r="G49" i="162"/>
  <c r="H20" i="162"/>
  <c r="H79" i="162" s="1"/>
  <c r="H83" i="162" s="1"/>
  <c r="F49" i="162"/>
  <c r="F44" i="162" s="1"/>
  <c r="F43" i="162" s="1"/>
  <c r="I36" i="162"/>
  <c r="I20" i="162" s="1"/>
  <c r="F20" i="162"/>
  <c r="D79" i="162"/>
  <c r="D83" i="162" s="1"/>
  <c r="D88" i="162" s="1"/>
  <c r="D14" i="162" s="1"/>
  <c r="H14" i="162" s="1"/>
  <c r="K14" i="162" s="1"/>
  <c r="J90" i="162"/>
  <c r="K21" i="162"/>
  <c r="I95" i="162"/>
  <c r="I94" i="162"/>
  <c r="K28" i="162"/>
  <c r="J28" i="162"/>
  <c r="S64" i="162"/>
  <c r="K64" i="162"/>
  <c r="Q58" i="162"/>
  <c r="P58" i="162"/>
  <c r="Q57" i="162"/>
  <c r="P57" i="162"/>
  <c r="P81" i="162"/>
  <c r="Q56" i="162"/>
  <c r="P56" i="162"/>
  <c r="S54" i="162"/>
  <c r="K54" i="162"/>
  <c r="O95" i="162"/>
  <c r="Q28" i="162"/>
  <c r="P28" i="162"/>
  <c r="O27" i="162"/>
  <c r="P93" i="162"/>
  <c r="Q22" i="162"/>
  <c r="P22" i="162"/>
  <c r="O21" i="162"/>
  <c r="Q80" i="162"/>
  <c r="P80" i="162"/>
  <c r="J38" i="162"/>
  <c r="S38" i="162"/>
  <c r="K38" i="162"/>
  <c r="Q45" i="162"/>
  <c r="K26" i="162"/>
  <c r="J26" i="162"/>
  <c r="Q74" i="162"/>
  <c r="P74" i="162"/>
  <c r="K34" i="162"/>
  <c r="J34" i="162"/>
  <c r="P50" i="162"/>
  <c r="O49" i="162"/>
  <c r="Q50" i="162"/>
  <c r="Q54" i="162"/>
  <c r="P54" i="162"/>
  <c r="K66" i="162"/>
  <c r="S66" i="162"/>
  <c r="S46" i="162"/>
  <c r="K46" i="162"/>
  <c r="J46" i="162"/>
  <c r="K65" i="162"/>
  <c r="S65" i="162"/>
  <c r="K55" i="162"/>
  <c r="S55" i="162"/>
  <c r="Q93" i="162"/>
  <c r="P39" i="162"/>
  <c r="Q39" i="162"/>
  <c r="P45" i="162"/>
  <c r="K50" i="162"/>
  <c r="S50" i="162"/>
  <c r="J50" i="162"/>
  <c r="Q55" i="162"/>
  <c r="P55" i="162"/>
  <c r="Q41" i="162"/>
  <c r="P41" i="162"/>
  <c r="Q71" i="162"/>
  <c r="P71" i="162"/>
  <c r="P36" i="162"/>
  <c r="Q36" i="162"/>
  <c r="G96" i="162"/>
  <c r="F96" i="162"/>
  <c r="N96" i="162"/>
  <c r="Q96" i="162" s="1"/>
  <c r="K67" i="162"/>
  <c r="S67" i="162"/>
  <c r="P65" i="162"/>
  <c r="Q65" i="162"/>
  <c r="Q92" i="162"/>
  <c r="P92" i="162"/>
  <c r="O90" i="162"/>
  <c r="J39" i="162"/>
  <c r="K39" i="162"/>
  <c r="Q48" i="162"/>
  <c r="P48" i="162"/>
  <c r="H94" i="162"/>
  <c r="K32" i="162"/>
  <c r="J32" i="162"/>
  <c r="Q67" i="162"/>
  <c r="P67" i="162"/>
  <c r="J21" i="162"/>
  <c r="J48" i="162"/>
  <c r="S48" i="162"/>
  <c r="K48" i="162"/>
  <c r="K29" i="162"/>
  <c r="J29" i="162"/>
  <c r="P34" i="162"/>
  <c r="Q34" i="162"/>
  <c r="O33" i="162"/>
  <c r="Q64" i="162"/>
  <c r="P64" i="162"/>
  <c r="Q73" i="162"/>
  <c r="P73" i="162"/>
  <c r="J40" i="162"/>
  <c r="S40" i="162"/>
  <c r="K40" i="162"/>
  <c r="O14" i="162"/>
  <c r="I16" i="162"/>
  <c r="Q24" i="162"/>
  <c r="P24" i="162"/>
  <c r="N95" i="162"/>
  <c r="N94" i="162"/>
  <c r="N27" i="162"/>
  <c r="N20" i="162" s="1"/>
  <c r="N79" i="162" s="1"/>
  <c r="N83" i="162" s="1"/>
  <c r="Q38" i="162"/>
  <c r="P38" i="162"/>
  <c r="Q40" i="162"/>
  <c r="P40" i="162"/>
  <c r="Q66" i="162"/>
  <c r="P66" i="162"/>
  <c r="K45" i="162"/>
  <c r="I96" i="162"/>
  <c r="J45" i="162"/>
  <c r="S45" i="162"/>
  <c r="K36" i="162" l="1"/>
  <c r="P96" i="162"/>
  <c r="G14" i="162"/>
  <c r="F14" i="162"/>
  <c r="J14" i="162"/>
  <c r="J36" i="162"/>
  <c r="K20" i="162"/>
  <c r="Q33" i="162"/>
  <c r="P33" i="162"/>
  <c r="K33" i="162"/>
  <c r="J33" i="162"/>
  <c r="Q27" i="162"/>
  <c r="P27" i="162"/>
  <c r="O15" i="162"/>
  <c r="O16" i="162" s="1"/>
  <c r="J27" i="162"/>
  <c r="K27" i="162"/>
  <c r="J44" i="162"/>
  <c r="J43" i="162" s="1"/>
  <c r="K44" i="162"/>
  <c r="K43" i="162" s="1"/>
  <c r="K96" i="162"/>
  <c r="J96" i="162"/>
  <c r="J20" i="162"/>
  <c r="H16" i="162"/>
  <c r="J16" i="162" s="1"/>
  <c r="N14" i="162"/>
  <c r="N16" i="162" s="1"/>
  <c r="K94" i="162"/>
  <c r="J94" i="162"/>
  <c r="Q90" i="162"/>
  <c r="P90" i="162"/>
  <c r="O94" i="162"/>
  <c r="K95" i="162"/>
  <c r="J95" i="162"/>
  <c r="K49" i="162"/>
  <c r="J49" i="162"/>
  <c r="Q21" i="162"/>
  <c r="O20" i="162"/>
  <c r="P21" i="162"/>
  <c r="Q95" i="162"/>
  <c r="P95" i="162"/>
  <c r="Q49" i="162"/>
  <c r="P49" i="162"/>
  <c r="O44" i="162"/>
  <c r="O43" i="162" s="1"/>
  <c r="K16" i="162" l="1"/>
  <c r="O79" i="162"/>
  <c r="Q20" i="162"/>
  <c r="P20" i="162"/>
  <c r="P16" i="162"/>
  <c r="Q16" i="162"/>
  <c r="E79" i="162"/>
  <c r="G79" i="162" s="1"/>
  <c r="Q44" i="162"/>
  <c r="Q43" i="162" s="1"/>
  <c r="P44" i="162"/>
  <c r="P43" i="162" s="1"/>
  <c r="I79" i="162"/>
  <c r="P14" i="162"/>
  <c r="Q94" i="162"/>
  <c r="P94" i="162"/>
  <c r="Q14" i="162"/>
  <c r="F79" i="162" l="1"/>
  <c r="E83" i="162"/>
  <c r="G83" i="162" s="1"/>
  <c r="Q79" i="162"/>
  <c r="P79" i="162"/>
  <c r="O83" i="162"/>
  <c r="J79" i="162"/>
  <c r="I83" i="162"/>
  <c r="E115" i="162" s="1"/>
  <c r="K79" i="162"/>
  <c r="R84" i="162" l="1"/>
  <c r="R86" i="162" s="1"/>
  <c r="J83" i="162"/>
  <c r="K83" i="162"/>
  <c r="E118" i="162"/>
  <c r="Q83" i="162"/>
  <c r="P83" i="162"/>
  <c r="E88" i="162"/>
  <c r="F83" i="162"/>
  <c r="G88" i="162" l="1"/>
  <c r="F88" i="162"/>
</calcChain>
</file>

<file path=xl/sharedStrings.xml><?xml version="1.0" encoding="utf-8"?>
<sst xmlns="http://schemas.openxmlformats.org/spreadsheetml/2006/main" count="1402" uniqueCount="244">
  <si>
    <t>Снабжение тепловой энергии</t>
  </si>
  <si>
    <t>№ п/п</t>
  </si>
  <si>
    <t>Наименование показателей*</t>
  </si>
  <si>
    <t>I</t>
  </si>
  <si>
    <t>тыс. тенге</t>
  </si>
  <si>
    <t>Сырье и материалы</t>
  </si>
  <si>
    <t>Энергия</t>
  </si>
  <si>
    <t>Заработная плата производственного персонала</t>
  </si>
  <si>
    <t>Амортизация</t>
  </si>
  <si>
    <t>Прочие затраты (расшифровать)</t>
  </si>
  <si>
    <t>Покупка тепловой энергии</t>
  </si>
  <si>
    <t>Автоуслуги</t>
  </si>
  <si>
    <t>услуги охраны</t>
  </si>
  <si>
    <t>содержание автомашин</t>
  </si>
  <si>
    <t xml:space="preserve">охрана труда и техника безопасности </t>
  </si>
  <si>
    <t>вывоз мусора</t>
  </si>
  <si>
    <t>II</t>
  </si>
  <si>
    <t>Общие и административные расходы, всего: в том числе:</t>
  </si>
  <si>
    <t>Заработная плата административного персонала</t>
  </si>
  <si>
    <t>Налоги</t>
  </si>
  <si>
    <t xml:space="preserve">услуги банка </t>
  </si>
  <si>
    <t xml:space="preserve">амортизация </t>
  </si>
  <si>
    <t xml:space="preserve">командировочные </t>
  </si>
  <si>
    <t xml:space="preserve">коммунальные услуги </t>
  </si>
  <si>
    <t xml:space="preserve">услуги связи </t>
  </si>
  <si>
    <t>реклама</t>
  </si>
  <si>
    <t>страхование транспорта и ГПО</t>
  </si>
  <si>
    <t>обслуживание оргтехники</t>
  </si>
  <si>
    <t>пожарная и охранная  сигнализация</t>
  </si>
  <si>
    <t>техосмотр</t>
  </si>
  <si>
    <t>регистрация транспорта</t>
  </si>
  <si>
    <t>регистрация имущества</t>
  </si>
  <si>
    <t>канцелярские товары</t>
  </si>
  <si>
    <t>хозтовары</t>
  </si>
  <si>
    <t>техобучение</t>
  </si>
  <si>
    <t>подписка</t>
  </si>
  <si>
    <t>услуги нотариуса</t>
  </si>
  <si>
    <t>Обслуживание 1С</t>
  </si>
  <si>
    <t>Обслуживание АВС-4</t>
  </si>
  <si>
    <t>проездные билеты</t>
  </si>
  <si>
    <t>обслуживание юрбазы</t>
  </si>
  <si>
    <t>Почтовые расходы</t>
  </si>
  <si>
    <t>анализ воды</t>
  </si>
  <si>
    <t>расчет независимых экспертов</t>
  </si>
  <si>
    <t>обслуживание и поверка приборов</t>
  </si>
  <si>
    <t>услуги Казгидромед</t>
  </si>
  <si>
    <t xml:space="preserve">аренда основных средств общехозяйственного назначения </t>
  </si>
  <si>
    <t>Расходы на выплату вознаграждений</t>
  </si>
  <si>
    <t>III</t>
  </si>
  <si>
    <t>Всего затрат на предоставление услуг</t>
  </si>
  <si>
    <t>IV</t>
  </si>
  <si>
    <t>VI</t>
  </si>
  <si>
    <t>Всего доходов</t>
  </si>
  <si>
    <t>VII</t>
  </si>
  <si>
    <t>Объем оказываемых услуг (товаров, работ)</t>
  </si>
  <si>
    <t>IX</t>
  </si>
  <si>
    <t>Тариф</t>
  </si>
  <si>
    <t>Справочно:</t>
  </si>
  <si>
    <t>Среднесписочная численность персонала,</t>
  </si>
  <si>
    <t>человек</t>
  </si>
  <si>
    <t>в том числе:</t>
  </si>
  <si>
    <t>производственного</t>
  </si>
  <si>
    <t>административного</t>
  </si>
  <si>
    <t>тенге</t>
  </si>
  <si>
    <t>1.1</t>
  </si>
  <si>
    <t>1.2</t>
  </si>
  <si>
    <t>1.3</t>
  </si>
  <si>
    <t>1.4</t>
  </si>
  <si>
    <t>1.5</t>
  </si>
  <si>
    <t>2.1</t>
  </si>
  <si>
    <t>2.2</t>
  </si>
  <si>
    <t>4.1</t>
  </si>
  <si>
    <t>5.3</t>
  </si>
  <si>
    <t>5.4</t>
  </si>
  <si>
    <t>5.5</t>
  </si>
  <si>
    <t>5.8</t>
  </si>
  <si>
    <t>6.1</t>
  </si>
  <si>
    <t>6.2</t>
  </si>
  <si>
    <t>6.3</t>
  </si>
  <si>
    <t>6.4</t>
  </si>
  <si>
    <t>6.4.1</t>
  </si>
  <si>
    <t>6.4.2</t>
  </si>
  <si>
    <t>6.4.3</t>
  </si>
  <si>
    <t>6.4.5</t>
  </si>
  <si>
    <t>6.4.6</t>
  </si>
  <si>
    <t>6.4.8</t>
  </si>
  <si>
    <t>6.4.9</t>
  </si>
  <si>
    <t>6.4.10</t>
  </si>
  <si>
    <t>6.4.11</t>
  </si>
  <si>
    <t>6.4.12</t>
  </si>
  <si>
    <t>6.4.13</t>
  </si>
  <si>
    <t>6.4.14</t>
  </si>
  <si>
    <t>6.4.15</t>
  </si>
  <si>
    <t>6.4.16</t>
  </si>
  <si>
    <t>6.4.17</t>
  </si>
  <si>
    <t>6.4.18</t>
  </si>
  <si>
    <t>6.4.19</t>
  </si>
  <si>
    <t>6.4.20</t>
  </si>
  <si>
    <t>6.4.21</t>
  </si>
  <si>
    <t>6.4.22</t>
  </si>
  <si>
    <t>6.4.23</t>
  </si>
  <si>
    <t>6.4.24</t>
  </si>
  <si>
    <t>6.4.25</t>
  </si>
  <si>
    <t>6.4.26</t>
  </si>
  <si>
    <t>6.4.27</t>
  </si>
  <si>
    <t>V</t>
  </si>
  <si>
    <t>Регулируемая база задействованных активов (РБА).</t>
  </si>
  <si>
    <t>VIII</t>
  </si>
  <si>
    <t>Нормативные технические потери</t>
  </si>
  <si>
    <t>%</t>
  </si>
  <si>
    <t>8.1</t>
  </si>
  <si>
    <t>8.2</t>
  </si>
  <si>
    <t>9.1</t>
  </si>
  <si>
    <t>9.2</t>
  </si>
  <si>
    <t>Передача и распределение тепловой энергии</t>
  </si>
  <si>
    <t>5.1</t>
  </si>
  <si>
    <t>5.2</t>
  </si>
  <si>
    <t>5.6</t>
  </si>
  <si>
    <t xml:space="preserve">Покупка тепловой энергии на возмещение затрат по техническим нормативным потерям  </t>
  </si>
  <si>
    <t>Покупка воды</t>
  </si>
  <si>
    <t>Отведение сточных вод</t>
  </si>
  <si>
    <t>Очистка сточных вод</t>
  </si>
  <si>
    <t>Покупка электрической энергии на восполнение нормативно-технических потерь</t>
  </si>
  <si>
    <t>5.7</t>
  </si>
  <si>
    <t>Отклонение</t>
  </si>
  <si>
    <t>Подача воды по распределительным сетям</t>
  </si>
  <si>
    <t>Коэффициент</t>
  </si>
  <si>
    <t>Передача и распредление электрической энергии</t>
  </si>
  <si>
    <t>Горячая вода</t>
  </si>
  <si>
    <t>Доход</t>
  </si>
  <si>
    <t>отклонение</t>
  </si>
  <si>
    <t>Единица измерения</t>
  </si>
  <si>
    <t>ОБЩЕЕ</t>
  </si>
  <si>
    <t>Утверждено 12 мес</t>
  </si>
  <si>
    <t>сложено 12 мес</t>
  </si>
  <si>
    <t>прочий доход</t>
  </si>
  <si>
    <t>ИТОГО ДОХОДНАЯ ЧАСТЬ</t>
  </si>
  <si>
    <t>Затраты на производство товаров и предоставление услуг, всего, в том числе</t>
  </si>
  <si>
    <t>тысяч тенге</t>
  </si>
  <si>
    <t>Материальные затраты, всего, в том числе</t>
  </si>
  <si>
    <t xml:space="preserve"> - // -</t>
  </si>
  <si>
    <t>Покупные изделия</t>
  </si>
  <si>
    <t>Горюче-смазочные материалы</t>
  </si>
  <si>
    <t>Топливо</t>
  </si>
  <si>
    <t>Расходы на оплату труда, всего, в том числе</t>
  </si>
  <si>
    <t>Ремонт, всего, в том числе</t>
  </si>
  <si>
    <t>Капитальный ремонт, не приводящий к увеличению стоимости основных фондов</t>
  </si>
  <si>
    <t>5</t>
  </si>
  <si>
    <t>5.9</t>
  </si>
  <si>
    <t>5.10</t>
  </si>
  <si>
    <t>Расходы периода всего, в том числе</t>
  </si>
  <si>
    <t>6</t>
  </si>
  <si>
    <t>Прочие расходы</t>
  </si>
  <si>
    <t>6.4.4</t>
  </si>
  <si>
    <t>6.4.7</t>
  </si>
  <si>
    <t>7</t>
  </si>
  <si>
    <t>Доход (РБА*СП)</t>
  </si>
  <si>
    <t>тыс.ед.</t>
  </si>
  <si>
    <t>необоснованный доход</t>
  </si>
  <si>
    <t>- " -</t>
  </si>
  <si>
    <t>Среднемесячная заработная плата, всего, в т. ч.</t>
  </si>
  <si>
    <t>производственного персонала</t>
  </si>
  <si>
    <t>административного персонала</t>
  </si>
  <si>
    <t xml:space="preserve">Факт </t>
  </si>
  <si>
    <t>       Индекс ИТС-1</t>
  </si>
  <si>
    <t>       Представляют: субъекты естественной монополии, за исключением региональной электросетевой компании</t>
  </si>
  <si>
    <t>       Куда представляется форма: в ведомство государственного органа, осуществляющее руководство в соответствующих сферах естественных монополий или в его территориальный орган</t>
  </si>
  <si>
    <t>Предусмотрено в утвержденной тарифной смете</t>
  </si>
  <si>
    <t>Фактически сложившиеся показатели тарифной сметы</t>
  </si>
  <si>
    <t>ОСМС</t>
  </si>
  <si>
    <t>Социальный налог, соц.отчисления</t>
  </si>
  <si>
    <t>Социальный налог и соц отчисления</t>
  </si>
  <si>
    <t>тенге/ ед.</t>
  </si>
  <si>
    <t>Утверждено</t>
  </si>
  <si>
    <t>Итого 2022 г.</t>
  </si>
  <si>
    <t>э./////////////////////////////////</t>
  </si>
  <si>
    <t>штрафы</t>
  </si>
  <si>
    <t>обязательные пенс взносы</t>
  </si>
  <si>
    <t>подпитка</t>
  </si>
  <si>
    <t>2.3</t>
  </si>
  <si>
    <t>2.4</t>
  </si>
  <si>
    <t>       Отчетный период 1 полугодие 2022 года</t>
  </si>
  <si>
    <t>       Периодичность: за 1 полугодие</t>
  </si>
  <si>
    <t>       Срок предоставления: - ежегодно не позднее 1 августа года, следующего за отчетным периодом</t>
  </si>
  <si>
    <t>Наименование организации ТОО "Окжетпес-Т"</t>
  </si>
  <si>
    <t>Aдрес: г. Темиртау, улица Караганды, 47</t>
  </si>
  <si>
    <t>Телефон: 8-72-13-99-62-64</t>
  </si>
  <si>
    <t>Aдрес электронной почты: info@okjetpest.kz</t>
  </si>
  <si>
    <t xml:space="preserve">Руководитель: </t>
  </si>
  <si>
    <t>И.о. генерального директора Ким В.Г._______________________________</t>
  </si>
  <si>
    <t>Дата «18» июля 2022 года</t>
  </si>
  <si>
    <t>Фамилия и телефон исполнителя: Свиридова Е.А. 8-7213-99-62-64 (вн.160)</t>
  </si>
  <si>
    <t>Отчет об исполнении тарифной сметы на регулируемые услуги "Передача и распределение электрической энергии"</t>
  </si>
  <si>
    <t>Отчет об исполнении инвестиционной программы 1полугодие  2022 года</t>
  </si>
  <si>
    <t>ТОО "Окжетпес-Т"</t>
  </si>
  <si>
    <t>(наименование субъекта)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</si>
  <si>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</si>
  <si>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</si>
  <si>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</si>
  <si>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тысяч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</si>
  <si>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</si>
  <si>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</si>
  <si>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</si>
  <si>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</si>
  <si>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>Наименование мероприятий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</si>
  <si>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</si>
  <si>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</si>
  <si>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</si>
  <si>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</si>
  <si>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Причины отклонения</t>
  </si>
  <si>
    <t>Собственные средства</t>
  </si>
  <si>
    <t>Заемные средства</t>
  </si>
  <si>
    <t>Бюджетные средства</t>
  </si>
  <si>
    <t>Снижение расхода сырья, материалов, топлива и энергии в натуральном выражении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</si>
  <si>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</si>
  <si>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</si>
  <si>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</si>
  <si>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Прибыль</t>
  </si>
  <si>
    <t>Факт прошлого года</t>
  </si>
  <si>
    <t>Факт текущего года</t>
  </si>
  <si>
    <t>Замена сетей</t>
  </si>
  <si>
    <t>Замена участка теплотрассы 4 микрорайона от жилого дома №67 до Ч.Валиханова 19 (2этап)</t>
  </si>
  <si>
    <t>метр</t>
  </si>
  <si>
    <t>2022 год</t>
  </si>
  <si>
    <t>Прохождение конкурсных процедур</t>
  </si>
  <si>
    <t>нет</t>
  </si>
  <si>
    <t>Аварии отсутсвовали</t>
  </si>
  <si>
    <t>Замена участка теплотрассы 8 микрорайона 5 и 6 кольца</t>
  </si>
  <si>
    <t>Замена теплоизоляции</t>
  </si>
  <si>
    <t>Замена теплоизоляции Восточной части города</t>
  </si>
  <si>
    <t>Перенос сроков на 2022 год</t>
  </si>
  <si>
    <t>Закуп оборудования</t>
  </si>
  <si>
    <t>Монтаж сетевого насоса с частотным преобразователем на тепловую насосную станцию ТП-03</t>
  </si>
  <si>
    <t>шт.</t>
  </si>
  <si>
    <t>Закуп электродвигателя для сетевых насосов на тепловые насосные станции ТНС-1 и ТНС-2</t>
  </si>
  <si>
    <t>ИТОГО 2022 г.:</t>
  </si>
  <si>
    <t xml:space="preserve">Снабжение теловой энергией </t>
  </si>
  <si>
    <t>Сервер Dell T130 4 LFF</t>
  </si>
  <si>
    <t xml:space="preserve"> -</t>
  </si>
  <si>
    <t>Многофункциональные устройства HP LJ M 426</t>
  </si>
  <si>
    <t>UPS SVC RTL -1K-LCD</t>
  </si>
  <si>
    <t>ИТОГО 2022г.:</t>
  </si>
  <si>
    <t>Замена участка ХПВ по ул.Димитрова от ул.Калинина до ул.Блюхера</t>
  </si>
  <si>
    <t>Заена участка напорного коллектора ф 820мм от ФНС 35 квартала до КГН(1 участок)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</si>
</sst>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.00_р_._-;\-* #,##0.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_(* #,##0.00_);_(* \(#,##0.00\);_(* \-??_);_(@_)"/>
    <numFmt numFmtId="169" formatCode="_-* #,##0.0\ _₽_-;\-* #,##0.0\ _₽_-;_-* &quot;-&quot;??\ _₽_-;_-@_-"/>
    <numFmt numFmtId="170" formatCode="_-* #,##0\ _₽_-;\-* #,##0\ _₽_-;_-* &quot;-&quot;??\ _₽_-;_-@_-"/>
    <numFmt numFmtId="171" formatCode="_-* #,##0.00_-;\-* #,##0.00_-;_-* &quot;-&quot;??_-;_-@_-"/>
    <numFmt numFmtId="172" formatCode="_(&quot;$&quot;* #,##0.00_);_(&quot;$&quot;* \(#,##0.00\);_(&quot;$&quot;* &quot;-&quot;??_);_(@_)"/>
    <numFmt numFmtId="173" formatCode="_-* #,##0.00&quot; &quot;_-;\-* #,##0.00&quot; &quot;_-;_-* &quot;-&quot;??&quot; &quot;_-;_-@_-"/>
    <numFmt numFmtId="174" formatCode="_-* #,##0.00_$_-;\-* #,##0.00_$_-;_-* &quot;-&quot;??_$_-;_-@_-"/>
    <numFmt numFmtId="175" formatCode="#,##0.0000"/>
    <numFmt numFmtId="176" formatCode="_-* #,##0.000\ _₽_-;\-* #,##0.000\ _₽_-;_-* &quot;-&quot;???\ _₽_-;_-@_-"/>
    <numFmt numFmtId="177" formatCode="#,##0.0"/>
  </numFmts>
  <fonts count="9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FF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i/>
      <sz val="18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1"/>
      <color rgb="FF0000FF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8"/>
      <color rgb="FF0000FF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color rgb="FFC00000"/>
      <name val="Times New Roman"/>
      <family val="1"/>
      <charset val="204"/>
    </font>
    <font>
      <b/>
      <i/>
      <sz val="11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FF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0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2"/>
      <color rgb="FF0000FF"/>
      <name val="Calibri"/>
      <family val="2"/>
      <charset val="204"/>
      <scheme val="minor"/>
    </font>
    <font>
      <sz val="10"/>
      <name val="Arial CE"/>
      <charset val="204"/>
    </font>
    <font>
      <sz val="8"/>
      <name val="Arial"/>
      <family val="2"/>
      <charset val="204"/>
    </font>
    <font>
      <sz val="14"/>
      <color rgb="FF000000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6600"/>
      <name val="Times New Roman"/>
      <family val="1"/>
      <charset val="204"/>
    </font>
    <font>
      <sz val="14"/>
      <color rgb="FF0000F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9"/>
      <color indexed="21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1E1E1E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000000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87">
    <xf numFmtId="0" fontId="0" fillId="0" borderId="0"/>
    <xf numFmtId="165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8" fontId="6" fillId="0" borderId="0" applyFill="0" applyBorder="0" applyAlignment="0" applyProtection="0"/>
    <xf numFmtId="0" fontId="6" fillId="0" borderId="0"/>
    <xf numFmtId="0" fontId="6" fillId="0" borderId="0"/>
    <xf numFmtId="168" fontId="6" fillId="0" borderId="0" applyFill="0" applyBorder="0" applyAlignment="0" applyProtection="0"/>
    <xf numFmtId="0" fontId="6" fillId="0" borderId="0"/>
    <xf numFmtId="168" fontId="6" fillId="0" borderId="0" applyFill="0" applyBorder="0" applyAlignment="0" applyProtection="0"/>
    <xf numFmtId="0" fontId="6" fillId="0" borderId="0"/>
    <xf numFmtId="168" fontId="6" fillId="0" borderId="0" applyFill="0" applyBorder="0" applyAlignment="0" applyProtection="0"/>
    <xf numFmtId="43" fontId="6" fillId="0" borderId="0" applyFont="0" applyFill="0" applyBorder="0" applyAlignment="0" applyProtection="0"/>
    <xf numFmtId="0" fontId="33" fillId="0" borderId="21" applyNumberFormat="0" applyFill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24" applyNumberFormat="0" applyAlignment="0" applyProtection="0"/>
    <xf numFmtId="0" fontId="40" fillId="13" borderId="25" applyNumberFormat="0" applyAlignment="0" applyProtection="0"/>
    <xf numFmtId="0" fontId="41" fillId="13" borderId="24" applyNumberFormat="0" applyAlignment="0" applyProtection="0"/>
    <xf numFmtId="0" fontId="42" fillId="0" borderId="26" applyNumberFormat="0" applyFill="0" applyAlignment="0" applyProtection="0"/>
    <xf numFmtId="0" fontId="43" fillId="14" borderId="2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8" fillId="0" borderId="0" applyNumberFormat="0" applyFill="0" applyBorder="0" applyAlignment="0" applyProtection="0"/>
    <xf numFmtId="0" fontId="1" fillId="0" borderId="0"/>
    <xf numFmtId="0" fontId="47" fillId="0" borderId="0"/>
    <xf numFmtId="0" fontId="9" fillId="0" borderId="0" applyNumberFormat="0" applyFill="0" applyBorder="0" applyProtection="0">
      <alignment vertical="top" wrapText="1"/>
    </xf>
    <xf numFmtId="0" fontId="1" fillId="15" borderId="28" applyNumberFormat="0" applyFont="0" applyAlignment="0" applyProtection="0"/>
    <xf numFmtId="0" fontId="6" fillId="0" borderId="0"/>
    <xf numFmtId="0" fontId="47" fillId="0" borderId="30" applyNumberFormat="0" applyFont="0" applyFill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50" fillId="12" borderId="24" applyNumberFormat="0" applyAlignment="0" applyProtection="0"/>
    <xf numFmtId="0" fontId="50" fillId="12" borderId="24" applyNumberFormat="0" applyAlignment="0" applyProtection="0"/>
    <xf numFmtId="0" fontId="50" fillId="12" borderId="24" applyNumberFormat="0" applyAlignment="0" applyProtection="0"/>
    <xf numFmtId="0" fontId="50" fillId="12" borderId="24" applyNumberFormat="0" applyAlignment="0" applyProtection="0"/>
    <xf numFmtId="0" fontId="51" fillId="13" borderId="25" applyNumberFormat="0" applyAlignment="0" applyProtection="0"/>
    <xf numFmtId="0" fontId="51" fillId="13" borderId="25" applyNumberFormat="0" applyAlignment="0" applyProtection="0"/>
    <xf numFmtId="0" fontId="51" fillId="13" borderId="25" applyNumberFormat="0" applyAlignment="0" applyProtection="0"/>
    <xf numFmtId="0" fontId="51" fillId="13" borderId="25" applyNumberFormat="0" applyAlignment="0" applyProtection="0"/>
    <xf numFmtId="0" fontId="52" fillId="13" borderId="24" applyNumberFormat="0" applyAlignment="0" applyProtection="0"/>
    <xf numFmtId="0" fontId="52" fillId="13" borderId="24" applyNumberFormat="0" applyAlignment="0" applyProtection="0"/>
    <xf numFmtId="0" fontId="52" fillId="13" borderId="24" applyNumberFormat="0" applyAlignment="0" applyProtection="0"/>
    <xf numFmtId="0" fontId="52" fillId="13" borderId="24" applyNumberFormat="0" applyAlignment="0" applyProtection="0"/>
    <xf numFmtId="0" fontId="53" fillId="0" borderId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4" fillId="0" borderId="29" applyNumberFormat="0" applyFill="0" applyAlignment="0" applyProtection="0"/>
    <xf numFmtId="0" fontId="55" fillId="14" borderId="27" applyNumberFormat="0" applyAlignment="0" applyProtection="0"/>
    <xf numFmtId="0" fontId="55" fillId="14" borderId="27" applyNumberFormat="0" applyAlignment="0" applyProtection="0"/>
    <xf numFmtId="0" fontId="55" fillId="14" borderId="27" applyNumberFormat="0" applyAlignment="0" applyProtection="0"/>
    <xf numFmtId="0" fontId="55" fillId="14" borderId="27" applyNumberFormat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15" borderId="28" applyNumberFormat="0" applyFont="0" applyAlignment="0" applyProtection="0"/>
    <xf numFmtId="0" fontId="14" fillId="15" borderId="28" applyNumberFormat="0" applyFont="0" applyAlignment="0" applyProtection="0"/>
    <xf numFmtId="0" fontId="14" fillId="15" borderId="28" applyNumberFormat="0" applyFont="0" applyAlignment="0" applyProtection="0"/>
    <xf numFmtId="0" fontId="14" fillId="15" borderId="28" applyNumberFormat="0" applyFont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59" fillId="0" borderId="26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1" fillId="15" borderId="28" applyNumberFormat="0" applyFont="0" applyAlignment="0" applyProtection="0"/>
    <xf numFmtId="0" fontId="62" fillId="0" borderId="0"/>
    <xf numFmtId="0" fontId="63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7" fillId="0" borderId="0"/>
    <xf numFmtId="0" fontId="47" fillId="0" borderId="0"/>
    <xf numFmtId="172" fontId="6" fillId="0" borderId="0" applyFont="0" applyFill="0" applyBorder="0" applyAlignment="0" applyProtection="0"/>
    <xf numFmtId="173" fontId="6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7" fillId="0" borderId="0"/>
    <xf numFmtId="0" fontId="1" fillId="0" borderId="0"/>
    <xf numFmtId="0" fontId="47" fillId="0" borderId="0"/>
    <xf numFmtId="0" fontId="6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" fillId="0" borderId="0"/>
    <xf numFmtId="0" fontId="65" fillId="0" borderId="0"/>
    <xf numFmtId="9" fontId="6" fillId="0" borderId="0" applyFont="0" applyFill="0" applyBorder="0" applyAlignment="0" applyProtection="0"/>
    <xf numFmtId="174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2" fillId="0" borderId="0" applyFont="0" applyFill="0" applyBorder="0" applyAlignment="0" applyProtection="0"/>
    <xf numFmtId="165" fontId="62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6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7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6" fillId="0" borderId="0"/>
    <xf numFmtId="0" fontId="8" fillId="0" borderId="0"/>
    <xf numFmtId="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14" fillId="0" borderId="0" xfId="0" applyFont="1"/>
    <xf numFmtId="43" fontId="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3" fontId="4" fillId="3" borderId="1" xfId="1" applyNumberFormat="1" applyFont="1" applyFill="1" applyBorder="1" applyAlignment="1">
      <alignment horizontal="center" vertical="center"/>
    </xf>
    <xf numFmtId="43" fontId="4" fillId="4" borderId="1" xfId="1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4" fillId="6" borderId="1" xfId="1" applyNumberFormat="1" applyFont="1" applyFill="1" applyBorder="1" applyAlignment="1">
      <alignment horizontal="center" vertical="center"/>
    </xf>
    <xf numFmtId="43" fontId="4" fillId="4" borderId="1" xfId="1" applyNumberFormat="1" applyFont="1" applyFill="1" applyBorder="1" applyAlignment="1">
      <alignment horizontal="center" vertical="center" wrapText="1"/>
    </xf>
    <xf numFmtId="43" fontId="3" fillId="0" borderId="1" xfId="1" applyNumberFormat="1" applyFont="1" applyBorder="1"/>
    <xf numFmtId="43" fontId="3" fillId="0" borderId="1" xfId="1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43" fontId="3" fillId="0" borderId="0" xfId="0" applyNumberFormat="1" applyFont="1"/>
    <xf numFmtId="43" fontId="22" fillId="0" borderId="1" xfId="1" applyNumberFormat="1" applyFont="1" applyFill="1" applyBorder="1" applyAlignment="1">
      <alignment horizontal="center" vertical="center"/>
    </xf>
    <xf numFmtId="0" fontId="23" fillId="0" borderId="0" xfId="0" applyFont="1"/>
    <xf numFmtId="0" fontId="13" fillId="0" borderId="0" xfId="0" applyFont="1"/>
    <xf numFmtId="0" fontId="24" fillId="0" borderId="0" xfId="0" applyFont="1"/>
    <xf numFmtId="43" fontId="24" fillId="0" borderId="0" xfId="0" applyNumberFormat="1" applyFont="1"/>
    <xf numFmtId="43" fontId="16" fillId="0" borderId="1" xfId="1" applyNumberFormat="1" applyFont="1" applyFill="1" applyBorder="1" applyAlignment="1">
      <alignment horizontal="center" vertical="center"/>
    </xf>
    <xf numFmtId="0" fontId="25" fillId="0" borderId="0" xfId="0" applyFont="1"/>
    <xf numFmtId="0" fontId="22" fillId="0" borderId="0" xfId="0" applyFont="1"/>
    <xf numFmtId="0" fontId="27" fillId="0" borderId="0" xfId="0" applyFont="1"/>
    <xf numFmtId="43" fontId="10" fillId="3" borderId="1" xfId="1" applyNumberFormat="1" applyFont="1" applyFill="1" applyBorder="1" applyAlignment="1">
      <alignment horizontal="center" vertical="center"/>
    </xf>
    <xf numFmtId="43" fontId="10" fillId="4" borderId="1" xfId="1" applyNumberFormat="1" applyFont="1" applyFill="1" applyBorder="1" applyAlignment="1">
      <alignment horizontal="center" vertical="center"/>
    </xf>
    <xf numFmtId="43" fontId="10" fillId="6" borderId="1" xfId="1" applyNumberFormat="1" applyFont="1" applyFill="1" applyBorder="1" applyAlignment="1">
      <alignment horizontal="center" vertical="center"/>
    </xf>
    <xf numFmtId="43" fontId="10" fillId="4" borderId="1" xfId="1" applyNumberFormat="1" applyFont="1" applyFill="1" applyBorder="1" applyAlignment="1">
      <alignment horizontal="center" vertical="center" wrapText="1"/>
    </xf>
    <xf numFmtId="43" fontId="22" fillId="0" borderId="1" xfId="1" applyNumberFormat="1" applyFont="1" applyBorder="1"/>
    <xf numFmtId="43" fontId="22" fillId="0" borderId="1" xfId="1" applyNumberFormat="1" applyFont="1" applyBorder="1" applyAlignment="1">
      <alignment horizontal="center" vertical="center"/>
    </xf>
    <xf numFmtId="0" fontId="28" fillId="0" borderId="0" xfId="0" applyFont="1"/>
    <xf numFmtId="43" fontId="28" fillId="0" borderId="0" xfId="0" applyNumberFormat="1" applyFont="1"/>
    <xf numFmtId="43" fontId="29" fillId="0" borderId="1" xfId="1" applyNumberFormat="1" applyFont="1" applyFill="1" applyBorder="1" applyAlignment="1">
      <alignment horizontal="center" vertical="center"/>
    </xf>
    <xf numFmtId="0" fontId="30" fillId="0" borderId="0" xfId="0" applyFont="1"/>
    <xf numFmtId="164" fontId="28" fillId="0" borderId="0" xfId="0" applyNumberFormat="1" applyFont="1"/>
    <xf numFmtId="43" fontId="10" fillId="0" borderId="1" xfId="1" applyNumberFormat="1" applyFont="1" applyFill="1" applyBorder="1" applyAlignment="1">
      <alignment horizontal="center" vertical="center"/>
    </xf>
    <xf numFmtId="43" fontId="4" fillId="2" borderId="15" xfId="0" applyNumberFormat="1" applyFont="1" applyFill="1" applyBorder="1" applyAlignment="1">
      <alignment horizontal="center" vertical="center" wrapText="1"/>
    </xf>
    <xf numFmtId="43" fontId="4" fillId="3" borderId="10" xfId="1" applyNumberFormat="1" applyFont="1" applyFill="1" applyBorder="1" applyAlignment="1">
      <alignment horizontal="center" vertical="center"/>
    </xf>
    <xf numFmtId="43" fontId="4" fillId="4" borderId="10" xfId="1" applyNumberFormat="1" applyFont="1" applyFill="1" applyBorder="1" applyAlignment="1">
      <alignment horizontal="center" vertical="center"/>
    </xf>
    <xf numFmtId="43" fontId="4" fillId="6" borderId="10" xfId="1" applyNumberFormat="1" applyFont="1" applyFill="1" applyBorder="1" applyAlignment="1">
      <alignment horizontal="center" vertical="center"/>
    </xf>
    <xf numFmtId="43" fontId="4" fillId="4" borderId="10" xfId="1" applyNumberFormat="1" applyFont="1" applyFill="1" applyBorder="1" applyAlignment="1">
      <alignment horizontal="center" vertical="center" wrapText="1"/>
    </xf>
    <xf numFmtId="43" fontId="3" fillId="0" borderId="10" xfId="1" applyNumberFormat="1" applyFont="1" applyBorder="1"/>
    <xf numFmtId="43" fontId="3" fillId="0" borderId="10" xfId="1" applyNumberFormat="1" applyFont="1" applyBorder="1" applyAlignment="1">
      <alignment horizontal="center" vertical="center"/>
    </xf>
    <xf numFmtId="43" fontId="3" fillId="0" borderId="12" xfId="1" applyNumberFormat="1" applyFont="1" applyBorder="1" applyAlignment="1">
      <alignment horizontal="center" vertical="center"/>
    </xf>
    <xf numFmtId="43" fontId="3" fillId="0" borderId="13" xfId="1" applyNumberFormat="1" applyFont="1" applyBorder="1" applyAlignment="1">
      <alignment horizontal="center" vertical="center"/>
    </xf>
    <xf numFmtId="43" fontId="22" fillId="0" borderId="13" xfId="1" applyNumberFormat="1" applyFont="1" applyBorder="1" applyAlignment="1">
      <alignment horizontal="center" vertical="center"/>
    </xf>
    <xf numFmtId="43" fontId="22" fillId="0" borderId="16" xfId="1" applyNumberFormat="1" applyFont="1" applyFill="1" applyBorder="1" applyAlignment="1">
      <alignment horizontal="center" vertical="center"/>
    </xf>
    <xf numFmtId="43" fontId="3" fillId="0" borderId="10" xfId="1" applyNumberFormat="1" applyFont="1" applyFill="1" applyBorder="1" applyAlignment="1">
      <alignment horizontal="center" vertical="center"/>
    </xf>
    <xf numFmtId="43" fontId="22" fillId="0" borderId="11" xfId="1" applyNumberFormat="1" applyFont="1" applyFill="1" applyBorder="1" applyAlignment="1">
      <alignment horizontal="center" vertical="center"/>
    </xf>
    <xf numFmtId="170" fontId="22" fillId="0" borderId="11" xfId="1" applyNumberFormat="1" applyFont="1" applyFill="1" applyBorder="1" applyAlignment="1">
      <alignment horizontal="center" vertical="center"/>
    </xf>
    <xf numFmtId="43" fontId="3" fillId="0" borderId="10" xfId="0" applyNumberFormat="1" applyFont="1" applyFill="1" applyBorder="1" applyAlignment="1">
      <alignment horizontal="center" vertical="center"/>
    </xf>
    <xf numFmtId="170" fontId="22" fillId="6" borderId="11" xfId="1" applyNumberFormat="1" applyFont="1" applyFill="1" applyBorder="1" applyAlignment="1">
      <alignment horizontal="center" vertical="center"/>
    </xf>
    <xf numFmtId="170" fontId="22" fillId="4" borderId="11" xfId="1" applyNumberFormat="1" applyFont="1" applyFill="1" applyBorder="1" applyAlignment="1">
      <alignment horizontal="center" vertical="center" wrapText="1"/>
    </xf>
    <xf numFmtId="170" fontId="22" fillId="0" borderId="11" xfId="1" applyNumberFormat="1" applyFont="1" applyBorder="1"/>
    <xf numFmtId="170" fontId="22" fillId="0" borderId="11" xfId="1" applyNumberFormat="1" applyFont="1" applyBorder="1" applyAlignment="1">
      <alignment horizontal="center" vertical="center"/>
    </xf>
    <xf numFmtId="43" fontId="10" fillId="4" borderId="11" xfId="1" applyNumberFormat="1" applyFont="1" applyFill="1" applyBorder="1" applyAlignment="1">
      <alignment horizontal="center" vertical="center"/>
    </xf>
    <xf numFmtId="43" fontId="10" fillId="3" borderId="11" xfId="1" applyNumberFormat="1" applyFont="1" applyFill="1" applyBorder="1" applyAlignment="1">
      <alignment horizontal="center" vertical="center"/>
    </xf>
    <xf numFmtId="43" fontId="10" fillId="6" borderId="11" xfId="1" applyNumberFormat="1" applyFont="1" applyFill="1" applyBorder="1" applyAlignment="1">
      <alignment horizontal="center" vertical="center"/>
    </xf>
    <xf numFmtId="43" fontId="10" fillId="4" borderId="11" xfId="1" applyNumberFormat="1" applyFont="1" applyFill="1" applyBorder="1" applyAlignment="1">
      <alignment horizontal="center" vertical="center" wrapText="1"/>
    </xf>
    <xf numFmtId="43" fontId="22" fillId="0" borderId="11" xfId="1" applyNumberFormat="1" applyFont="1" applyBorder="1"/>
    <xf numFmtId="43" fontId="22" fillId="0" borderId="11" xfId="1" applyNumberFormat="1" applyFont="1" applyBorder="1" applyAlignment="1">
      <alignment horizontal="center" vertical="center"/>
    </xf>
    <xf numFmtId="43" fontId="4" fillId="0" borderId="10" xfId="1" applyNumberFormat="1" applyFont="1" applyFill="1" applyBorder="1" applyAlignment="1">
      <alignment horizontal="center" vertical="center"/>
    </xf>
    <xf numFmtId="43" fontId="29" fillId="0" borderId="10" xfId="1" applyNumberFormat="1" applyFont="1" applyFill="1" applyBorder="1" applyAlignment="1">
      <alignment horizontal="center" vertical="center"/>
    </xf>
    <xf numFmtId="43" fontId="16" fillId="0" borderId="10" xfId="1" applyNumberFormat="1" applyFont="1" applyFill="1" applyBorder="1" applyAlignment="1">
      <alignment horizontal="center" vertical="center"/>
    </xf>
    <xf numFmtId="165" fontId="10" fillId="4" borderId="1" xfId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167" fontId="22" fillId="4" borderId="11" xfId="1" applyNumberFormat="1" applyFont="1" applyFill="1" applyBorder="1" applyAlignment="1">
      <alignment horizontal="center" vertical="center" wrapText="1"/>
    </xf>
    <xf numFmtId="167" fontId="22" fillId="0" borderId="11" xfId="1" applyNumberFormat="1" applyFont="1" applyBorder="1" applyAlignment="1">
      <alignment horizontal="center" vertical="center"/>
    </xf>
    <xf numFmtId="167" fontId="22" fillId="0" borderId="14" xfId="1" applyNumberFormat="1" applyFont="1" applyBorder="1" applyAlignment="1">
      <alignment horizontal="center" vertical="center"/>
    </xf>
    <xf numFmtId="43" fontId="12" fillId="0" borderId="1" xfId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32" fillId="0" borderId="0" xfId="0" applyFont="1"/>
    <xf numFmtId="0" fontId="14" fillId="0" borderId="0" xfId="0" applyFont="1" applyFill="1"/>
    <xf numFmtId="0" fontId="68" fillId="0" borderId="0" xfId="0" applyFont="1"/>
    <xf numFmtId="0" fontId="67" fillId="0" borderId="0" xfId="0" applyFont="1" applyAlignment="1">
      <alignment vertical="center"/>
    </xf>
    <xf numFmtId="43" fontId="32" fillId="0" borderId="0" xfId="0" applyNumberFormat="1" applyFont="1"/>
    <xf numFmtId="43" fontId="0" fillId="0" borderId="0" xfId="0" applyNumberFormat="1"/>
    <xf numFmtId="0" fontId="21" fillId="0" borderId="0" xfId="0" applyFont="1" applyAlignment="1">
      <alignment horizontal="center" vertical="center"/>
    </xf>
    <xf numFmtId="43" fontId="22" fillId="0" borderId="1" xfId="0" applyNumberFormat="1" applyFont="1" applyFill="1" applyBorder="1" applyAlignment="1">
      <alignment horizontal="center" vertical="center"/>
    </xf>
    <xf numFmtId="43" fontId="3" fillId="0" borderId="35" xfId="1" applyNumberFormat="1" applyFont="1" applyFill="1" applyBorder="1" applyAlignment="1">
      <alignment horizontal="center" vertical="center"/>
    </xf>
    <xf numFmtId="43" fontId="15" fillId="0" borderId="1" xfId="1" applyNumberFormat="1" applyFont="1" applyFill="1" applyBorder="1" applyAlignment="1">
      <alignment horizontal="center" vertical="center"/>
    </xf>
    <xf numFmtId="43" fontId="70" fillId="0" borderId="1" xfId="1" applyNumberFormat="1" applyFont="1" applyFill="1" applyBorder="1" applyAlignment="1">
      <alignment horizontal="center" vertical="center"/>
    </xf>
    <xf numFmtId="43" fontId="70" fillId="0" borderId="11" xfId="1" applyNumberFormat="1" applyFont="1" applyFill="1" applyBorder="1" applyAlignment="1">
      <alignment horizontal="center" vertical="center"/>
    </xf>
    <xf numFmtId="43" fontId="71" fillId="0" borderId="0" xfId="0" applyNumberFormat="1" applyFont="1"/>
    <xf numFmtId="43" fontId="3" fillId="0" borderId="38" xfId="1" applyNumberFormat="1" applyFont="1" applyFill="1" applyBorder="1" applyAlignment="1">
      <alignment horizontal="center" vertical="center"/>
    </xf>
    <xf numFmtId="43" fontId="22" fillId="0" borderId="35" xfId="1" applyNumberFormat="1" applyFont="1" applyFill="1" applyBorder="1" applyAlignment="1">
      <alignment horizontal="center" vertical="center"/>
    </xf>
    <xf numFmtId="43" fontId="22" fillId="0" borderId="36" xfId="1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43" fontId="0" fillId="0" borderId="0" xfId="0" applyNumberFormat="1" applyFill="1"/>
    <xf numFmtId="43" fontId="10" fillId="0" borderId="35" xfId="1" applyNumberFormat="1" applyFont="1" applyFill="1" applyBorder="1" applyAlignment="1">
      <alignment horizontal="center" vertical="center"/>
    </xf>
    <xf numFmtId="0" fontId="26" fillId="0" borderId="0" xfId="0" applyFont="1" applyFill="1"/>
    <xf numFmtId="43" fontId="22" fillId="0" borderId="39" xfId="1" applyNumberFormat="1" applyFont="1" applyBorder="1" applyAlignment="1">
      <alignment horizontal="center" vertical="center"/>
    </xf>
    <xf numFmtId="0" fontId="69" fillId="0" borderId="0" xfId="0" applyFont="1" applyAlignment="1">
      <alignment vertical="center"/>
    </xf>
    <xf numFmtId="43" fontId="2" fillId="0" borderId="4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4" fillId="2" borderId="48" xfId="0" applyNumberFormat="1" applyFont="1" applyFill="1" applyBorder="1" applyAlignment="1">
      <alignment horizontal="center" vertical="center" wrapText="1"/>
    </xf>
    <xf numFmtId="43" fontId="3" fillId="0" borderId="33" xfId="1" applyNumberFormat="1" applyFont="1" applyBorder="1" applyAlignment="1">
      <alignment horizontal="center" vertical="center"/>
    </xf>
    <xf numFmtId="43" fontId="22" fillId="0" borderId="33" xfId="1" applyNumberFormat="1" applyFont="1" applyBorder="1" applyAlignment="1">
      <alignment horizontal="center" vertical="center"/>
    </xf>
    <xf numFmtId="43" fontId="22" fillId="0" borderId="34" xfId="1" applyNumberFormat="1" applyFont="1" applyBorder="1" applyAlignment="1">
      <alignment horizontal="center" vertical="center"/>
    </xf>
    <xf numFmtId="43" fontId="3" fillId="0" borderId="41" xfId="1" applyNumberFormat="1" applyFont="1" applyFill="1" applyBorder="1" applyAlignment="1">
      <alignment horizontal="center" vertical="center"/>
    </xf>
    <xf numFmtId="43" fontId="22" fillId="0" borderId="41" xfId="1" applyNumberFormat="1" applyFont="1" applyFill="1" applyBorder="1" applyAlignment="1">
      <alignment horizontal="center" vertical="center"/>
    </xf>
    <xf numFmtId="43" fontId="22" fillId="0" borderId="43" xfId="1" applyNumberFormat="1" applyFont="1" applyFill="1" applyBorder="1" applyAlignment="1">
      <alignment horizontal="center" vertical="center"/>
    </xf>
    <xf numFmtId="43" fontId="3" fillId="0" borderId="49" xfId="1" applyNumberFormat="1" applyFont="1" applyFill="1" applyBorder="1" applyAlignment="1">
      <alignment horizontal="center" vertical="center"/>
    </xf>
    <xf numFmtId="43" fontId="4" fillId="6" borderId="49" xfId="1" applyNumberFormat="1" applyFont="1" applyFill="1" applyBorder="1" applyAlignment="1">
      <alignment horizontal="center" vertical="center"/>
    </xf>
    <xf numFmtId="43" fontId="4" fillId="6" borderId="41" xfId="1" applyNumberFormat="1" applyFont="1" applyFill="1" applyBorder="1" applyAlignment="1">
      <alignment horizontal="center" vertical="center"/>
    </xf>
    <xf numFmtId="43" fontId="4" fillId="4" borderId="49" xfId="1" applyNumberFormat="1" applyFont="1" applyFill="1" applyBorder="1" applyAlignment="1">
      <alignment horizontal="center" vertical="center" wrapText="1"/>
    </xf>
    <xf numFmtId="43" fontId="4" fillId="4" borderId="41" xfId="1" applyNumberFormat="1" applyFont="1" applyFill="1" applyBorder="1" applyAlignment="1">
      <alignment horizontal="center" vertical="center" wrapText="1"/>
    </xf>
    <xf numFmtId="43" fontId="10" fillId="4" borderId="41" xfId="1" applyNumberFormat="1" applyFont="1" applyFill="1" applyBorder="1" applyAlignment="1">
      <alignment horizontal="center" vertical="center" wrapText="1"/>
    </xf>
    <xf numFmtId="43" fontId="10" fillId="4" borderId="43" xfId="1" applyNumberFormat="1" applyFont="1" applyFill="1" applyBorder="1" applyAlignment="1">
      <alignment horizontal="center" vertical="center" wrapText="1"/>
    </xf>
    <xf numFmtId="43" fontId="3" fillId="0" borderId="49" xfId="1" applyNumberFormat="1" applyFont="1" applyBorder="1"/>
    <xf numFmtId="43" fontId="3" fillId="0" borderId="41" xfId="1" applyNumberFormat="1" applyFont="1" applyBorder="1"/>
    <xf numFmtId="43" fontId="22" fillId="0" borderId="41" xfId="1" applyNumberFormat="1" applyFont="1" applyBorder="1"/>
    <xf numFmtId="43" fontId="22" fillId="0" borderId="43" xfId="1" applyNumberFormat="1" applyFont="1" applyBorder="1"/>
    <xf numFmtId="43" fontId="3" fillId="0" borderId="49" xfId="1" applyNumberFormat="1" applyFont="1" applyBorder="1" applyAlignment="1">
      <alignment horizontal="center" vertical="center"/>
    </xf>
    <xf numFmtId="43" fontId="3" fillId="0" borderId="41" xfId="1" applyNumberFormat="1" applyFont="1" applyBorder="1" applyAlignment="1">
      <alignment horizontal="center" vertical="center"/>
    </xf>
    <xf numFmtId="43" fontId="22" fillId="0" borderId="41" xfId="1" applyNumberFormat="1" applyFont="1" applyBorder="1" applyAlignment="1">
      <alignment horizontal="center" vertical="center"/>
    </xf>
    <xf numFmtId="43" fontId="22" fillId="0" borderId="43" xfId="1" applyNumberFormat="1" applyFont="1" applyBorder="1" applyAlignment="1">
      <alignment horizontal="center" vertical="center"/>
    </xf>
    <xf numFmtId="43" fontId="3" fillId="0" borderId="50" xfId="1" applyNumberFormat="1" applyFont="1" applyBorder="1" applyAlignment="1">
      <alignment horizontal="center" vertical="center"/>
    </xf>
    <xf numFmtId="43" fontId="3" fillId="0" borderId="51" xfId="1" applyNumberFormat="1" applyFont="1" applyBorder="1" applyAlignment="1">
      <alignment horizontal="center" vertical="center"/>
    </xf>
    <xf numFmtId="43" fontId="22" fillId="0" borderId="51" xfId="1" applyNumberFormat="1" applyFont="1" applyBorder="1" applyAlignment="1">
      <alignment horizontal="center" vertical="center"/>
    </xf>
    <xf numFmtId="43" fontId="22" fillId="0" borderId="46" xfId="1" applyNumberFormat="1" applyFont="1" applyBorder="1" applyAlignment="1">
      <alignment horizontal="center" vertical="center"/>
    </xf>
    <xf numFmtId="43" fontId="21" fillId="0" borderId="4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69" fontId="22" fillId="0" borderId="11" xfId="1" applyNumberFormat="1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3" fontId="4" fillId="22" borderId="41" xfId="1" applyNumberFormat="1" applyFont="1" applyFill="1" applyBorder="1" applyAlignment="1">
      <alignment horizontal="center" vertical="center"/>
    </xf>
    <xf numFmtId="43" fontId="4" fillId="22" borderId="49" xfId="1" applyNumberFormat="1" applyFont="1" applyFill="1" applyBorder="1" applyAlignment="1">
      <alignment horizontal="center" vertical="center"/>
    </xf>
    <xf numFmtId="43" fontId="10" fillId="22" borderId="41" xfId="0" applyNumberFormat="1" applyFont="1" applyFill="1" applyBorder="1" applyAlignment="1">
      <alignment horizontal="center" vertical="center"/>
    </xf>
    <xf numFmtId="43" fontId="10" fillId="0" borderId="41" xfId="1" applyNumberFormat="1" applyFont="1" applyFill="1" applyBorder="1" applyAlignment="1">
      <alignment horizontal="center" vertical="center"/>
    </xf>
    <xf numFmtId="43" fontId="10" fillId="0" borderId="43" xfId="1" applyNumberFormat="1" applyFont="1" applyFill="1" applyBorder="1" applyAlignment="1">
      <alignment horizontal="center" vertical="center"/>
    </xf>
    <xf numFmtId="0" fontId="72" fillId="0" borderId="0" xfId="0" applyFont="1"/>
    <xf numFmtId="43" fontId="4" fillId="22" borderId="1" xfId="1" applyNumberFormat="1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top"/>
    </xf>
    <xf numFmtId="0" fontId="4" fillId="2" borderId="48" xfId="0" applyFont="1" applyFill="1" applyBorder="1" applyAlignment="1">
      <alignment horizontal="center" vertical="center" wrapText="1"/>
    </xf>
    <xf numFmtId="43" fontId="3" fillId="0" borderId="37" xfId="1" applyNumberFormat="1" applyFont="1" applyFill="1" applyBorder="1" applyAlignment="1">
      <alignment horizontal="center" vertical="center"/>
    </xf>
    <xf numFmtId="43" fontId="4" fillId="6" borderId="37" xfId="1" applyNumberFormat="1" applyFont="1" applyFill="1" applyBorder="1" applyAlignment="1">
      <alignment horizontal="center" vertical="center"/>
    </xf>
    <xf numFmtId="43" fontId="4" fillId="4" borderId="37" xfId="1" applyNumberFormat="1" applyFont="1" applyFill="1" applyBorder="1" applyAlignment="1">
      <alignment horizontal="center" vertical="center" wrapText="1"/>
    </xf>
    <xf numFmtId="43" fontId="3" fillId="0" borderId="37" xfId="1" applyNumberFormat="1" applyFont="1" applyBorder="1"/>
    <xf numFmtId="43" fontId="3" fillId="0" borderId="37" xfId="1" applyNumberFormat="1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vertical="top"/>
    </xf>
    <xf numFmtId="0" fontId="3" fillId="2" borderId="45" xfId="0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49" fontId="4" fillId="8" borderId="31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top" wrapText="1"/>
    </xf>
    <xf numFmtId="49" fontId="4" fillId="4" borderId="44" xfId="0" applyNumberFormat="1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49" fontId="4" fillId="3" borderId="44" xfId="0" applyNumberFormat="1" applyFont="1" applyFill="1" applyBorder="1" applyAlignment="1">
      <alignment horizontal="center" vertical="top" wrapText="1"/>
    </xf>
    <xf numFmtId="49" fontId="4" fillId="2" borderId="44" xfId="0" applyNumberFormat="1" applyFont="1" applyFill="1" applyBorder="1" applyAlignment="1">
      <alignment horizontal="center" vertical="top" wrapText="1"/>
    </xf>
    <xf numFmtId="49" fontId="29" fillId="2" borderId="44" xfId="0" applyNumberFormat="1" applyFont="1" applyFill="1" applyBorder="1" applyAlignment="1">
      <alignment horizontal="center" vertical="top" wrapText="1"/>
    </xf>
    <xf numFmtId="49" fontId="4" fillId="22" borderId="44" xfId="0" applyNumberFormat="1" applyFont="1" applyFill="1" applyBorder="1" applyAlignment="1">
      <alignment horizontal="center" vertical="top" wrapText="1"/>
    </xf>
    <xf numFmtId="49" fontId="4" fillId="6" borderId="44" xfId="0" applyNumberFormat="1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vertical="top" wrapText="1"/>
    </xf>
    <xf numFmtId="49" fontId="3" fillId="2" borderId="45" xfId="0" applyNumberFormat="1" applyFont="1" applyFill="1" applyBorder="1" applyAlignment="1">
      <alignment vertical="top" wrapText="1"/>
    </xf>
    <xf numFmtId="0" fontId="4" fillId="2" borderId="31" xfId="0" applyFont="1" applyFill="1" applyBorder="1" applyAlignment="1">
      <alignment horizontal="left" vertical="center" wrapText="1"/>
    </xf>
    <xf numFmtId="0" fontId="4" fillId="8" borderId="3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vertical="top" wrapText="1"/>
    </xf>
    <xf numFmtId="0" fontId="4" fillId="4" borderId="44" xfId="0" applyFont="1" applyFill="1" applyBorder="1" applyAlignment="1">
      <alignment vertical="top" wrapText="1"/>
    </xf>
    <xf numFmtId="0" fontId="3" fillId="0" borderId="44" xfId="0" applyFont="1" applyFill="1" applyBorder="1" applyAlignment="1">
      <alignment vertical="top" wrapText="1"/>
    </xf>
    <xf numFmtId="0" fontId="3" fillId="2" borderId="44" xfId="0" applyFont="1" applyFill="1" applyBorder="1" applyAlignment="1">
      <alignment vertical="top" wrapText="1"/>
    </xf>
    <xf numFmtId="0" fontId="3" fillId="0" borderId="44" xfId="0" applyFont="1" applyFill="1" applyBorder="1" applyAlignment="1">
      <alignment horizontal="left" vertical="top" wrapText="1"/>
    </xf>
    <xf numFmtId="0" fontId="4" fillId="3" borderId="44" xfId="0" applyFont="1" applyFill="1" applyBorder="1" applyAlignment="1">
      <alignment vertical="top" wrapText="1"/>
    </xf>
    <xf numFmtId="0" fontId="29" fillId="0" borderId="3" xfId="0" applyFont="1" applyBorder="1"/>
    <xf numFmtId="0" fontId="4" fillId="22" borderId="44" xfId="0" applyFont="1" applyFill="1" applyBorder="1" applyAlignment="1">
      <alignment vertical="top" wrapText="1"/>
    </xf>
    <xf numFmtId="0" fontId="4" fillId="6" borderId="44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top" wrapText="1"/>
    </xf>
    <xf numFmtId="43" fontId="3" fillId="0" borderId="40" xfId="1" applyNumberFormat="1" applyFont="1" applyFill="1" applyBorder="1" applyAlignment="1">
      <alignment horizontal="center" vertical="center"/>
    </xf>
    <xf numFmtId="43" fontId="22" fillId="0" borderId="40" xfId="1" applyNumberFormat="1" applyFont="1" applyFill="1" applyBorder="1" applyAlignment="1">
      <alignment horizontal="center" vertical="center"/>
    </xf>
    <xf numFmtId="43" fontId="3" fillId="0" borderId="15" xfId="1" applyNumberFormat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43" fontId="4" fillId="3" borderId="40" xfId="1" applyNumberFormat="1" applyFont="1" applyFill="1" applyBorder="1" applyAlignment="1">
      <alignment horizontal="center" vertical="center"/>
    </xf>
    <xf numFmtId="43" fontId="10" fillId="3" borderId="40" xfId="1" applyNumberFormat="1" applyFont="1" applyFill="1" applyBorder="1" applyAlignment="1">
      <alignment horizontal="center" vertical="center"/>
    </xf>
    <xf numFmtId="43" fontId="4" fillId="3" borderId="15" xfId="1" applyNumberFormat="1" applyFont="1" applyFill="1" applyBorder="1" applyAlignment="1">
      <alignment horizontal="center" vertical="center"/>
    </xf>
    <xf numFmtId="43" fontId="10" fillId="3" borderId="16" xfId="1" applyNumberFormat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43" fontId="3" fillId="0" borderId="53" xfId="1" applyNumberFormat="1" applyFont="1" applyFill="1" applyBorder="1" applyAlignment="1">
      <alignment horizontal="center" vertical="center"/>
    </xf>
    <xf numFmtId="43" fontId="22" fillId="0" borderId="53" xfId="1" applyNumberFormat="1" applyFont="1" applyFill="1" applyBorder="1" applyAlignment="1">
      <alignment horizontal="center" vertical="center"/>
    </xf>
    <xf numFmtId="43" fontId="22" fillId="0" borderId="54" xfId="1" applyNumberFormat="1" applyFont="1" applyFill="1" applyBorder="1" applyAlignment="1">
      <alignment horizontal="center" vertical="center"/>
    </xf>
    <xf numFmtId="43" fontId="3" fillId="0" borderId="55" xfId="1" applyNumberFormat="1" applyFont="1" applyFill="1" applyBorder="1" applyAlignment="1">
      <alignment horizontal="center" vertical="center"/>
    </xf>
    <xf numFmtId="43" fontId="4" fillId="8" borderId="56" xfId="1" applyNumberFormat="1" applyFont="1" applyFill="1" applyBorder="1" applyAlignment="1">
      <alignment horizontal="center" vertical="center" wrapText="1"/>
    </xf>
    <xf numFmtId="43" fontId="4" fillId="8" borderId="53" xfId="1" applyNumberFormat="1" applyFont="1" applyFill="1" applyBorder="1" applyAlignment="1">
      <alignment horizontal="center" vertical="center" wrapText="1"/>
    </xf>
    <xf numFmtId="43" fontId="10" fillId="8" borderId="53" xfId="1" applyNumberFormat="1" applyFont="1" applyFill="1" applyBorder="1" applyAlignment="1">
      <alignment horizontal="center" vertical="center" wrapText="1"/>
    </xf>
    <xf numFmtId="43" fontId="22" fillId="8" borderId="54" xfId="1" applyNumberFormat="1" applyFont="1" applyFill="1" applyBorder="1" applyAlignment="1">
      <alignment horizontal="center" vertical="center" wrapText="1"/>
    </xf>
    <xf numFmtId="43" fontId="4" fillId="8" borderId="55" xfId="1" applyNumberFormat="1" applyFont="1" applyFill="1" applyBorder="1" applyAlignment="1">
      <alignment horizontal="center" vertical="center" wrapText="1"/>
    </xf>
    <xf numFmtId="43" fontId="10" fillId="8" borderId="54" xfId="1" applyNumberFormat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43" fontId="4" fillId="0" borderId="55" xfId="0" applyNumberFormat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4" borderId="10" xfId="1" applyFont="1" applyFill="1" applyBorder="1" applyAlignment="1">
      <alignment horizontal="center" vertical="center" wrapText="1"/>
    </xf>
    <xf numFmtId="165" fontId="4" fillId="4" borderId="1" xfId="1" applyFont="1" applyFill="1" applyBorder="1" applyAlignment="1">
      <alignment horizontal="center" vertical="center" wrapText="1"/>
    </xf>
    <xf numFmtId="165" fontId="10" fillId="4" borderId="11" xfId="1" applyFont="1" applyFill="1" applyBorder="1" applyAlignment="1">
      <alignment horizontal="center" vertical="center" wrapText="1"/>
    </xf>
    <xf numFmtId="165" fontId="3" fillId="0" borderId="10" xfId="1" applyFont="1" applyBorder="1"/>
    <xf numFmtId="165" fontId="3" fillId="0" borderId="1" xfId="1" applyFont="1" applyBorder="1"/>
    <xf numFmtId="165" fontId="22" fillId="0" borderId="1" xfId="1" applyFont="1" applyBorder="1"/>
    <xf numFmtId="165" fontId="22" fillId="0" borderId="11" xfId="1" applyFont="1" applyBorder="1"/>
    <xf numFmtId="165" fontId="3" fillId="0" borderId="47" xfId="1" applyFont="1" applyBorder="1" applyAlignment="1">
      <alignment horizontal="center" vertical="center"/>
    </xf>
    <xf numFmtId="165" fontId="3" fillId="0" borderId="41" xfId="1" applyFont="1" applyBorder="1" applyAlignment="1">
      <alignment horizontal="center" vertical="center"/>
    </xf>
    <xf numFmtId="165" fontId="22" fillId="0" borderId="1" xfId="1" applyFont="1" applyBorder="1" applyAlignment="1">
      <alignment horizontal="center" vertical="center"/>
    </xf>
    <xf numFmtId="165" fontId="22" fillId="0" borderId="11" xfId="1" applyFont="1" applyBorder="1" applyAlignment="1">
      <alignment horizontal="center" vertical="center"/>
    </xf>
    <xf numFmtId="165" fontId="3" fillId="0" borderId="10" xfId="1" applyFont="1" applyBorder="1" applyAlignment="1">
      <alignment horizontal="center" vertical="center"/>
    </xf>
    <xf numFmtId="165" fontId="3" fillId="0" borderId="1" xfId="1" applyFont="1" applyBorder="1" applyAlignment="1">
      <alignment horizontal="center" vertical="center"/>
    </xf>
    <xf numFmtId="165" fontId="3" fillId="0" borderId="12" xfId="1" applyFont="1" applyBorder="1" applyAlignment="1">
      <alignment horizontal="center" vertical="center"/>
    </xf>
    <xf numFmtId="165" fontId="3" fillId="0" borderId="13" xfId="1" applyFont="1" applyBorder="1" applyAlignment="1">
      <alignment horizontal="center" vertical="center"/>
    </xf>
    <xf numFmtId="165" fontId="22" fillId="0" borderId="13" xfId="1" applyFont="1" applyBorder="1" applyAlignment="1">
      <alignment horizontal="center" vertical="center"/>
    </xf>
    <xf numFmtId="165" fontId="22" fillId="0" borderId="14" xfId="1" applyFont="1" applyBorder="1" applyAlignment="1">
      <alignment horizontal="center" vertical="center"/>
    </xf>
    <xf numFmtId="165" fontId="0" fillId="0" borderId="0" xfId="1" applyFont="1" applyFill="1"/>
    <xf numFmtId="176" fontId="14" fillId="0" borderId="0" xfId="0" applyNumberFormat="1" applyFont="1" applyFill="1"/>
    <xf numFmtId="169" fontId="3" fillId="0" borderId="11" xfId="1" applyNumberFormat="1" applyFont="1" applyFill="1" applyBorder="1" applyAlignment="1">
      <alignment horizontal="center" vertical="center"/>
    </xf>
    <xf numFmtId="43" fontId="3" fillId="0" borderId="11" xfId="1" applyNumberFormat="1" applyFont="1" applyFill="1" applyBorder="1" applyAlignment="1">
      <alignment horizontal="center" vertical="center"/>
    </xf>
    <xf numFmtId="43" fontId="69" fillId="0" borderId="0" xfId="0" applyNumberFormat="1" applyFont="1" applyAlignment="1">
      <alignment vertical="center"/>
    </xf>
    <xf numFmtId="0" fontId="75" fillId="0" borderId="60" xfId="171" applyNumberFormat="1" applyFont="1" applyBorder="1" applyAlignment="1">
      <alignment vertical="top" wrapText="1" indent="4"/>
    </xf>
    <xf numFmtId="0" fontId="0" fillId="0" borderId="0" xfId="0" applyAlignment="1">
      <alignment horizontal="center" vertical="center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76" fillId="24" borderId="61" xfId="172" applyNumberFormat="1" applyFont="1" applyFill="1" applyBorder="1" applyAlignment="1">
      <alignment horizontal="right" vertical="top" wrapText="1"/>
    </xf>
    <xf numFmtId="49" fontId="3" fillId="2" borderId="44" xfId="0" applyNumberFormat="1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43" fontId="22" fillId="0" borderId="63" xfId="1" applyNumberFormat="1" applyFont="1" applyFill="1" applyBorder="1" applyAlignment="1">
      <alignment horizontal="center" vertical="center"/>
    </xf>
    <xf numFmtId="43" fontId="22" fillId="0" borderId="64" xfId="1" applyNumberFormat="1" applyFont="1" applyFill="1" applyBorder="1" applyAlignment="1">
      <alignment horizontal="center" vertical="center"/>
    </xf>
    <xf numFmtId="43" fontId="3" fillId="0" borderId="65" xfId="1" applyNumberFormat="1" applyFont="1" applyFill="1" applyBorder="1" applyAlignment="1">
      <alignment horizontal="center" vertical="center"/>
    </xf>
    <xf numFmtId="43" fontId="3" fillId="0" borderId="63" xfId="1" applyNumberFormat="1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vertical="top" wrapText="1"/>
    </xf>
    <xf numFmtId="4" fontId="22" fillId="0" borderId="63" xfId="1" applyNumberFormat="1" applyFont="1" applyFill="1" applyBorder="1" applyAlignment="1">
      <alignment horizontal="right" vertical="center"/>
    </xf>
    <xf numFmtId="0" fontId="4" fillId="3" borderId="66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5" borderId="66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29" fillId="5" borderId="66" xfId="0" applyFont="1" applyFill="1" applyBorder="1" applyAlignment="1">
      <alignment horizontal="center" vertical="center" wrapText="1"/>
    </xf>
    <xf numFmtId="0" fontId="4" fillId="23" borderId="66" xfId="0" applyFont="1" applyFill="1" applyBorder="1" applyAlignment="1">
      <alignment horizontal="center" vertical="center" wrapText="1"/>
    </xf>
    <xf numFmtId="43" fontId="4" fillId="2" borderId="0" xfId="0" applyNumberFormat="1" applyFont="1" applyFill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43" fontId="4" fillId="0" borderId="70" xfId="0" applyNumberFormat="1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4" fontId="4" fillId="3" borderId="63" xfId="1" applyNumberFormat="1" applyFont="1" applyFill="1" applyBorder="1" applyAlignment="1">
      <alignment horizontal="right" vertical="center"/>
    </xf>
    <xf numFmtId="4" fontId="10" fillId="3" borderId="63" xfId="1" applyNumberFormat="1" applyFont="1" applyFill="1" applyBorder="1" applyAlignment="1">
      <alignment horizontal="right" vertical="center"/>
    </xf>
    <xf numFmtId="4" fontId="22" fillId="3" borderId="63" xfId="1" applyNumberFormat="1" applyFont="1" applyFill="1" applyBorder="1" applyAlignment="1">
      <alignment horizontal="right" vertical="center"/>
    </xf>
    <xf numFmtId="4" fontId="4" fillId="4" borderId="63" xfId="1" applyNumberFormat="1" applyFont="1" applyFill="1" applyBorder="1" applyAlignment="1">
      <alignment horizontal="right" vertical="center"/>
    </xf>
    <xf numFmtId="4" fontId="10" fillId="4" borderId="63" xfId="1" applyNumberFormat="1" applyFont="1" applyFill="1" applyBorder="1" applyAlignment="1">
      <alignment horizontal="right" vertical="center"/>
    </xf>
    <xf numFmtId="4" fontId="22" fillId="4" borderId="63" xfId="1" applyNumberFormat="1" applyFont="1" applyFill="1" applyBorder="1" applyAlignment="1">
      <alignment horizontal="right" vertical="center"/>
    </xf>
    <xf numFmtId="4" fontId="3" fillId="0" borderId="63" xfId="1" applyNumberFormat="1" applyFont="1" applyFill="1" applyBorder="1" applyAlignment="1">
      <alignment horizontal="right" vertical="center"/>
    </xf>
    <xf numFmtId="4" fontId="15" fillId="0" borderId="63" xfId="1" applyNumberFormat="1" applyFont="1" applyFill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4" fontId="4" fillId="0" borderId="63" xfId="1" applyNumberFormat="1" applyFont="1" applyFill="1" applyBorder="1" applyAlignment="1">
      <alignment horizontal="right" vertical="center"/>
    </xf>
    <xf numFmtId="4" fontId="3" fillId="0" borderId="63" xfId="0" applyNumberFormat="1" applyFont="1" applyFill="1" applyBorder="1" applyAlignment="1">
      <alignment horizontal="right"/>
    </xf>
    <xf numFmtId="4" fontId="22" fillId="0" borderId="63" xfId="0" applyNumberFormat="1" applyFont="1" applyFill="1" applyBorder="1" applyAlignment="1">
      <alignment horizontal="right"/>
    </xf>
    <xf numFmtId="4" fontId="29" fillId="0" borderId="63" xfId="1" applyNumberFormat="1" applyFont="1" applyFill="1" applyBorder="1" applyAlignment="1">
      <alignment horizontal="right" vertical="center"/>
    </xf>
    <xf numFmtId="4" fontId="12" fillId="0" borderId="63" xfId="1" applyNumberFormat="1" applyFont="1" applyFill="1" applyBorder="1" applyAlignment="1">
      <alignment horizontal="right" vertical="center"/>
    </xf>
    <xf numFmtId="4" fontId="13" fillId="0" borderId="63" xfId="1" applyNumberFormat="1" applyFont="1" applyFill="1" applyBorder="1" applyAlignment="1">
      <alignment horizontal="right" vertical="center"/>
    </xf>
    <xf numFmtId="4" fontId="18" fillId="0" borderId="63" xfId="1" applyNumberFormat="1" applyFont="1" applyFill="1" applyBorder="1" applyAlignment="1">
      <alignment horizontal="right" vertical="center"/>
    </xf>
    <xf numFmtId="4" fontId="3" fillId="0" borderId="63" xfId="0" applyNumberFormat="1" applyFont="1" applyFill="1" applyBorder="1" applyAlignment="1">
      <alignment horizontal="right" vertical="center"/>
    </xf>
    <xf numFmtId="4" fontId="22" fillId="0" borderId="63" xfId="0" applyNumberFormat="1" applyFont="1" applyFill="1" applyBorder="1" applyAlignment="1">
      <alignment horizontal="right" vertical="center"/>
    </xf>
    <xf numFmtId="4" fontId="4" fillId="22" borderId="63" xfId="0" applyNumberFormat="1" applyFont="1" applyFill="1" applyBorder="1" applyAlignment="1">
      <alignment horizontal="right" vertical="center"/>
    </xf>
    <xf numFmtId="4" fontId="4" fillId="22" borderId="63" xfId="1" applyNumberFormat="1" applyFont="1" applyFill="1" applyBorder="1" applyAlignment="1">
      <alignment horizontal="right" vertical="center"/>
    </xf>
    <xf numFmtId="4" fontId="10" fillId="22" borderId="63" xfId="1" applyNumberFormat="1" applyFont="1" applyFill="1" applyBorder="1" applyAlignment="1">
      <alignment horizontal="right" vertical="center"/>
    </xf>
    <xf numFmtId="4" fontId="10" fillId="22" borderId="63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horizontal="center" vertical="center"/>
    </xf>
    <xf numFmtId="0" fontId="74" fillId="0" borderId="0" xfId="0" applyFont="1"/>
    <xf numFmtId="175" fontId="29" fillId="0" borderId="63" xfId="1" applyNumberFormat="1" applyFont="1" applyFill="1" applyBorder="1" applyAlignment="1">
      <alignment horizontal="right" vertical="center"/>
    </xf>
    <xf numFmtId="49" fontId="3" fillId="2" borderId="44" xfId="0" applyNumberFormat="1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79" fillId="0" borderId="0" xfId="0" applyFont="1"/>
    <xf numFmtId="0" fontId="79" fillId="0" borderId="0" xfId="0" applyFont="1" applyAlignment="1">
      <alignment vertical="center"/>
    </xf>
    <xf numFmtId="0" fontId="79" fillId="0" borderId="63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/>
    </xf>
    <xf numFmtId="0" fontId="79" fillId="0" borderId="63" xfId="0" applyFont="1" applyBorder="1" applyAlignment="1">
      <alignment horizontal="center" wrapText="1"/>
    </xf>
    <xf numFmtId="0" fontId="84" fillId="7" borderId="63" xfId="0" applyFont="1" applyFill="1" applyBorder="1"/>
    <xf numFmtId="0" fontId="84" fillId="7" borderId="63" xfId="0" applyFont="1" applyFill="1" applyBorder="1" applyAlignment="1">
      <alignment vertical="center"/>
    </xf>
    <xf numFmtId="0" fontId="79" fillId="5" borderId="63" xfId="0" applyFont="1" applyFill="1" applyBorder="1" applyAlignment="1">
      <alignment vertical="center" wrapText="1"/>
    </xf>
    <xf numFmtId="0" fontId="79" fillId="0" borderId="63" xfId="0" applyFont="1" applyBorder="1" applyAlignment="1">
      <alignment horizontal="center" vertical="center"/>
    </xf>
    <xf numFmtId="0" fontId="86" fillId="25" borderId="63" xfId="0" applyFont="1" applyFill="1" applyBorder="1" applyAlignment="1">
      <alignment horizontal="center" vertical="center" wrapText="1"/>
    </xf>
    <xf numFmtId="165" fontId="86" fillId="25" borderId="63" xfId="1" applyFont="1" applyFill="1" applyBorder="1" applyAlignment="1">
      <alignment vertical="center" wrapText="1"/>
    </xf>
    <xf numFmtId="4" fontId="79" fillId="0" borderId="63" xfId="0" applyNumberFormat="1" applyFont="1" applyBorder="1" applyAlignment="1">
      <alignment horizontal="center" vertical="center"/>
    </xf>
    <xf numFmtId="0" fontId="86" fillId="25" borderId="63" xfId="0" applyFont="1" applyFill="1" applyBorder="1" applyAlignment="1">
      <alignment horizontal="left" vertical="center" wrapText="1"/>
    </xf>
    <xf numFmtId="0" fontId="87" fillId="25" borderId="63" xfId="0" applyFont="1" applyFill="1" applyBorder="1" applyAlignment="1">
      <alignment horizontal="center" vertical="center"/>
    </xf>
    <xf numFmtId="165" fontId="87" fillId="25" borderId="63" xfId="1" applyFont="1" applyFill="1" applyBorder="1" applyAlignment="1">
      <alignment horizontal="center" vertical="center"/>
    </xf>
    <xf numFmtId="0" fontId="88" fillId="7" borderId="63" xfId="0" applyFont="1" applyFill="1" applyBorder="1" applyAlignment="1">
      <alignment wrapText="1"/>
    </xf>
    <xf numFmtId="0" fontId="78" fillId="5" borderId="63" xfId="0" applyFont="1" applyFill="1" applyBorder="1" applyAlignment="1">
      <alignment horizontal="left" vertical="center" wrapText="1"/>
    </xf>
    <xf numFmtId="0" fontId="78" fillId="5" borderId="63" xfId="0" applyFont="1" applyFill="1" applyBorder="1" applyAlignment="1">
      <alignment horizontal="center" vertical="center" wrapText="1"/>
    </xf>
    <xf numFmtId="165" fontId="78" fillId="5" borderId="63" xfId="0" applyNumberFormat="1" applyFont="1" applyFill="1" applyBorder="1" applyAlignment="1">
      <alignment horizontal="center" vertical="center" wrapText="1"/>
    </xf>
    <xf numFmtId="0" fontId="79" fillId="5" borderId="63" xfId="0" applyFont="1" applyFill="1" applyBorder="1" applyAlignment="1">
      <alignment horizontal="left" vertical="center" wrapText="1"/>
    </xf>
    <xf numFmtId="0" fontId="79" fillId="5" borderId="63" xfId="0" applyFont="1" applyFill="1" applyBorder="1" applyAlignment="1">
      <alignment horizontal="center" vertical="center"/>
    </xf>
    <xf numFmtId="165" fontId="79" fillId="5" borderId="63" xfId="0" applyNumberFormat="1" applyFont="1" applyFill="1" applyBorder="1" applyAlignment="1">
      <alignment horizontal="center" vertical="center"/>
    </xf>
    <xf numFmtId="165" fontId="79" fillId="0" borderId="63" xfId="1" applyFont="1" applyBorder="1" applyAlignment="1">
      <alignment vertical="center"/>
    </xf>
    <xf numFmtId="0" fontId="84" fillId="26" borderId="63" xfId="0" applyFont="1" applyFill="1" applyBorder="1"/>
    <xf numFmtId="4" fontId="84" fillId="26" borderId="63" xfId="0" applyNumberFormat="1" applyFont="1" applyFill="1" applyBorder="1"/>
    <xf numFmtId="4" fontId="84" fillId="26" borderId="63" xfId="0" applyNumberFormat="1" applyFont="1" applyFill="1" applyBorder="1" applyAlignment="1">
      <alignment horizontal="center"/>
    </xf>
    <xf numFmtId="43" fontId="84" fillId="26" borderId="63" xfId="0" applyNumberFormat="1" applyFont="1" applyFill="1" applyBorder="1"/>
    <xf numFmtId="4" fontId="84" fillId="26" borderId="63" xfId="0" applyNumberFormat="1" applyFont="1" applyFill="1" applyBorder="1" applyAlignment="1">
      <alignment vertical="center"/>
    </xf>
    <xf numFmtId="0" fontId="84" fillId="26" borderId="63" xfId="0" applyFont="1" applyFill="1" applyBorder="1" applyAlignment="1">
      <alignment vertical="center"/>
    </xf>
    <xf numFmtId="0" fontId="84" fillId="26" borderId="63" xfId="0" applyFont="1" applyFill="1" applyBorder="1" applyAlignment="1">
      <alignment horizontal="center" vertical="center"/>
    </xf>
    <xf numFmtId="0" fontId="79" fillId="0" borderId="63" xfId="0" applyFont="1" applyBorder="1" applyAlignment="1">
      <alignment horizontal="left" vertical="center" wrapText="1"/>
    </xf>
    <xf numFmtId="0" fontId="79" fillId="0" borderId="48" xfId="0" applyFont="1" applyBorder="1" applyAlignment="1">
      <alignment horizontal="center" vertical="center"/>
    </xf>
    <xf numFmtId="165" fontId="79" fillId="0" borderId="63" xfId="0" applyNumberFormat="1" applyFont="1" applyBorder="1" applyAlignment="1">
      <alignment horizontal="center" vertical="center" wrapText="1"/>
    </xf>
    <xf numFmtId="4" fontId="79" fillId="0" borderId="48" xfId="0" applyNumberFormat="1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 wrapText="1"/>
    </xf>
    <xf numFmtId="165" fontId="79" fillId="0" borderId="68" xfId="1" applyFont="1" applyBorder="1" applyAlignment="1">
      <alignment horizontal="center" vertical="center" wrapText="1"/>
    </xf>
    <xf numFmtId="0" fontId="89" fillId="0" borderId="0" xfId="0" applyFont="1"/>
    <xf numFmtId="0" fontId="79" fillId="0" borderId="40" xfId="0" applyFont="1" applyBorder="1" applyAlignment="1">
      <alignment horizontal="left" vertical="center" wrapText="1"/>
    </xf>
    <xf numFmtId="0" fontId="79" fillId="0" borderId="40" xfId="0" applyFont="1" applyBorder="1" applyAlignment="1">
      <alignment horizontal="center" vertical="center" wrapText="1"/>
    </xf>
    <xf numFmtId="165" fontId="79" fillId="0" borderId="40" xfId="0" applyNumberFormat="1" applyFont="1" applyBorder="1" applyAlignment="1">
      <alignment horizontal="center" vertical="center" wrapText="1"/>
    </xf>
    <xf numFmtId="0" fontId="84" fillId="26" borderId="48" xfId="0" applyFont="1" applyFill="1" applyBorder="1"/>
    <xf numFmtId="4" fontId="84" fillId="26" borderId="48" xfId="0" applyNumberFormat="1" applyFont="1" applyFill="1" applyBorder="1"/>
    <xf numFmtId="4" fontId="84" fillId="26" borderId="48" xfId="0" applyNumberFormat="1" applyFont="1" applyFill="1" applyBorder="1" applyAlignment="1">
      <alignment horizontal="center"/>
    </xf>
    <xf numFmtId="43" fontId="84" fillId="26" borderId="48" xfId="0" applyNumberFormat="1" applyFont="1" applyFill="1" applyBorder="1"/>
    <xf numFmtId="4" fontId="79" fillId="5" borderId="63" xfId="0" applyNumberFormat="1" applyFont="1" applyFill="1" applyBorder="1" applyAlignment="1">
      <alignment horizontal="center" vertical="center" wrapText="1"/>
    </xf>
    <xf numFmtId="0" fontId="79" fillId="5" borderId="63" xfId="0" applyFont="1" applyFill="1" applyBorder="1" applyAlignment="1">
      <alignment horizontal="center" vertical="center" wrapText="1"/>
    </xf>
    <xf numFmtId="177" fontId="79" fillId="0" borderId="48" xfId="0" applyNumberFormat="1" applyFont="1" applyBorder="1" applyAlignment="1">
      <alignment horizontal="center" vertical="center"/>
    </xf>
    <xf numFmtId="165" fontId="79" fillId="5" borderId="63" xfId="0" applyNumberFormat="1" applyFont="1" applyFill="1" applyBorder="1" applyAlignment="1">
      <alignment horizontal="center" vertical="center" wrapText="1"/>
    </xf>
    <xf numFmtId="4" fontId="79" fillId="0" borderId="68" xfId="0" applyNumberFormat="1" applyFont="1" applyBorder="1" applyAlignment="1">
      <alignment horizontal="center" vertical="center"/>
    </xf>
    <xf numFmtId="0" fontId="79" fillId="0" borderId="68" xfId="0" applyFont="1" applyFill="1" applyBorder="1" applyAlignment="1">
      <alignment horizontal="center" vertical="center"/>
    </xf>
    <xf numFmtId="0" fontId="79" fillId="0" borderId="68" xfId="0" applyFont="1" applyBorder="1" applyAlignment="1">
      <alignment horizontal="center" vertical="center"/>
    </xf>
    <xf numFmtId="0" fontId="79" fillId="0" borderId="68" xfId="0" applyFont="1" applyBorder="1" applyAlignment="1">
      <alignment horizontal="center" vertical="center" wrapText="1"/>
    </xf>
    <xf numFmtId="0" fontId="79" fillId="5" borderId="68" xfId="0" applyFont="1" applyFill="1" applyBorder="1" applyAlignment="1">
      <alignment horizontal="left" vertical="top" wrapText="1"/>
    </xf>
    <xf numFmtId="4" fontId="84" fillId="26" borderId="48" xfId="0" applyNumberFormat="1" applyFont="1" applyFill="1" applyBorder="1" applyAlignment="1">
      <alignment horizontal="center" vertical="center"/>
    </xf>
    <xf numFmtId="0" fontId="84" fillId="26" borderId="48" xfId="0" applyFont="1" applyFill="1" applyBorder="1" applyAlignment="1">
      <alignment vertical="center"/>
    </xf>
    <xf numFmtId="0" fontId="84" fillId="26" borderId="48" xfId="0" applyFont="1" applyFill="1" applyBorder="1" applyAlignment="1">
      <alignment horizontal="center" vertical="center"/>
    </xf>
    <xf numFmtId="0" fontId="83" fillId="7" borderId="63" xfId="0" applyFont="1" applyFill="1" applyBorder="1"/>
    <xf numFmtId="0" fontId="83" fillId="7" borderId="63" xfId="0" applyFont="1" applyFill="1" applyBorder="1" applyAlignment="1">
      <alignment vertical="center"/>
    </xf>
    <xf numFmtId="0" fontId="83" fillId="4" borderId="63" xfId="0" applyFont="1" applyFill="1" applyBorder="1" applyAlignment="1">
      <alignment vertical="center"/>
    </xf>
    <xf numFmtId="0" fontId="79" fillId="0" borderId="63" xfId="0" applyFont="1" applyBorder="1" applyAlignment="1">
      <alignment vertical="center" wrapText="1"/>
    </xf>
    <xf numFmtId="165" fontId="79" fillId="0" borderId="63" xfId="0" applyNumberFormat="1" applyFont="1" applyBorder="1" applyAlignment="1">
      <alignment vertical="center"/>
    </xf>
    <xf numFmtId="165" fontId="79" fillId="0" borderId="63" xfId="1" applyFont="1" applyBorder="1" applyAlignment="1">
      <alignment horizontal="center" vertical="center"/>
    </xf>
    <xf numFmtId="0" fontId="79" fillId="0" borderId="63" xfId="0" applyFont="1" applyFill="1" applyBorder="1" applyAlignment="1">
      <alignment horizontal="center" vertical="center"/>
    </xf>
    <xf numFmtId="0" fontId="79" fillId="5" borderId="63" xfId="0" applyFont="1" applyFill="1" applyBorder="1" applyAlignment="1">
      <alignment horizontal="left" vertical="top" wrapText="1"/>
    </xf>
    <xf numFmtId="4" fontId="84" fillId="26" borderId="63" xfId="0" applyNumberFormat="1" applyFont="1" applyFill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9" xfId="0" applyFont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horizontal="center" vertical="top" wrapText="1"/>
    </xf>
    <xf numFmtId="0" fontId="67" fillId="0" borderId="0" xfId="0" applyFont="1" applyAlignment="1">
      <alignment horizontal="left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3" fillId="0" borderId="63" xfId="0" applyFont="1" applyBorder="1" applyAlignment="1">
      <alignment horizontal="center" vertical="center"/>
    </xf>
    <xf numFmtId="0" fontId="83" fillId="0" borderId="63" xfId="0" applyFont="1" applyBorder="1" applyAlignment="1">
      <alignment horizontal="center" vertical="center" wrapText="1"/>
    </xf>
    <xf numFmtId="0" fontId="83" fillId="0" borderId="68" xfId="0" applyFont="1" applyBorder="1" applyAlignment="1">
      <alignment horizontal="center" vertical="center"/>
    </xf>
    <xf numFmtId="0" fontId="83" fillId="0" borderId="72" xfId="0" applyFont="1" applyBorder="1" applyAlignment="1">
      <alignment horizontal="center" vertical="center"/>
    </xf>
    <xf numFmtId="0" fontId="79" fillId="0" borderId="68" xfId="0" applyFont="1" applyBorder="1" applyAlignment="1">
      <alignment horizontal="left" vertical="top" wrapText="1"/>
    </xf>
    <xf numFmtId="0" fontId="79" fillId="0" borderId="72" xfId="0" applyFont="1" applyBorder="1" applyAlignment="1">
      <alignment horizontal="left" vertical="top" wrapText="1"/>
    </xf>
    <xf numFmtId="0" fontId="79" fillId="0" borderId="75" xfId="0" applyFont="1" applyBorder="1" applyAlignment="1">
      <alignment horizontal="center" vertical="center"/>
    </xf>
    <xf numFmtId="0" fontId="79" fillId="0" borderId="74" xfId="0" applyFont="1" applyBorder="1" applyAlignment="1">
      <alignment horizontal="center" vertical="center"/>
    </xf>
    <xf numFmtId="0" fontId="83" fillId="0" borderId="75" xfId="0" applyFont="1" applyBorder="1" applyAlignment="1">
      <alignment horizontal="center" vertical="center" wrapText="1"/>
    </xf>
    <xf numFmtId="0" fontId="83" fillId="0" borderId="74" xfId="0" applyFont="1" applyBorder="1" applyAlignment="1">
      <alignment horizontal="center" vertical="center" wrapText="1"/>
    </xf>
    <xf numFmtId="0" fontId="83" fillId="0" borderId="75" xfId="0" applyFont="1" applyBorder="1" applyAlignment="1">
      <alignment horizontal="center" vertical="center"/>
    </xf>
    <xf numFmtId="0" fontId="83" fillId="0" borderId="74" xfId="0" applyFont="1" applyBorder="1" applyAlignment="1">
      <alignment horizontal="center" vertical="center"/>
    </xf>
    <xf numFmtId="0" fontId="83" fillId="0" borderId="72" xfId="0" applyFont="1" applyBorder="1" applyAlignment="1">
      <alignment horizontal="center" vertical="center" wrapText="1"/>
    </xf>
    <xf numFmtId="4" fontId="79" fillId="0" borderId="68" xfId="0" applyNumberFormat="1" applyFont="1" applyBorder="1" applyAlignment="1">
      <alignment horizontal="center" vertical="center"/>
    </xf>
    <xf numFmtId="4" fontId="79" fillId="0" borderId="72" xfId="0" applyNumberFormat="1" applyFont="1" applyBorder="1" applyAlignment="1">
      <alignment horizontal="center" vertical="center"/>
    </xf>
    <xf numFmtId="0" fontId="83" fillId="0" borderId="68" xfId="0" applyFont="1" applyFill="1" applyBorder="1" applyAlignment="1">
      <alignment horizontal="center" vertical="center"/>
    </xf>
    <xf numFmtId="0" fontId="83" fillId="0" borderId="72" xfId="0" applyFont="1" applyFill="1" applyBorder="1" applyAlignment="1">
      <alignment horizontal="center" vertical="center"/>
    </xf>
    <xf numFmtId="0" fontId="79" fillId="0" borderId="63" xfId="0" applyFont="1" applyBorder="1" applyAlignment="1">
      <alignment horizontal="center" vertical="center" textRotation="90"/>
    </xf>
    <xf numFmtId="0" fontId="79" fillId="0" borderId="63" xfId="0" applyFont="1" applyBorder="1" applyAlignment="1">
      <alignment horizontal="left" vertical="top" wrapText="1"/>
    </xf>
    <xf numFmtId="4" fontId="79" fillId="0" borderId="63" xfId="0" applyNumberFormat="1" applyFont="1" applyFill="1" applyBorder="1" applyAlignment="1">
      <alignment horizontal="center" vertical="center"/>
    </xf>
    <xf numFmtId="0" fontId="79" fillId="0" borderId="63" xfId="0" applyFont="1" applyFill="1" applyBorder="1" applyAlignment="1">
      <alignment horizontal="center" vertical="center"/>
    </xf>
    <xf numFmtId="0" fontId="79" fillId="0" borderId="63" xfId="0" applyFont="1" applyBorder="1" applyAlignment="1">
      <alignment horizontal="center" vertical="center"/>
    </xf>
    <xf numFmtId="0" fontId="79" fillId="0" borderId="63" xfId="0" applyFont="1" applyBorder="1" applyAlignment="1">
      <alignment horizontal="center" vertical="center" wrapText="1"/>
    </xf>
    <xf numFmtId="165" fontId="85" fillId="0" borderId="63" xfId="1" applyFont="1" applyFill="1" applyBorder="1" applyAlignment="1">
      <alignment horizontal="center" vertical="center"/>
    </xf>
    <xf numFmtId="4" fontId="79" fillId="0" borderId="40" xfId="0" applyNumberFormat="1" applyFont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1" fillId="0" borderId="0" xfId="0" applyFont="1" applyAlignment="1">
      <alignment horizontal="center"/>
    </xf>
    <xf numFmtId="0" fontId="78" fillId="0" borderId="0" xfId="0" applyFont="1" applyAlignment="1">
      <alignment horizontal="center" vertical="top"/>
    </xf>
    <xf numFmtId="0" fontId="82" fillId="0" borderId="0" xfId="0" applyFont="1" applyAlignment="1">
      <alignment horizontal="center"/>
    </xf>
  </cellXfs>
  <cellStyles count="187">
    <cellStyle name="_x0005__x001c_" xfId="140"/>
    <cellStyle name="_x0005__x001c_ 2" xfId="141"/>
    <cellStyle name="Comma [0]_Acs_Okj_99_new" xfId="160"/>
    <cellStyle name="Акцент1" xfId="30" builtinId="29" customBuiltin="1"/>
    <cellStyle name="Акцент1 2" xfId="55"/>
    <cellStyle name="Акцент1 3" xfId="56"/>
    <cellStyle name="Акцент1 4" xfId="57"/>
    <cellStyle name="Акцент1 5" xfId="58"/>
    <cellStyle name="Акцент2" xfId="31" builtinId="33" customBuiltin="1"/>
    <cellStyle name="Акцент2 2" xfId="59"/>
    <cellStyle name="Акцент2 3" xfId="60"/>
    <cellStyle name="Акцент2 4" xfId="61"/>
    <cellStyle name="Акцент2 5" xfId="62"/>
    <cellStyle name="Акцент3" xfId="32" builtinId="37" customBuiltin="1"/>
    <cellStyle name="Акцент3 2" xfId="63"/>
    <cellStyle name="Акцент3 3" xfId="64"/>
    <cellStyle name="Акцент3 4" xfId="65"/>
    <cellStyle name="Акцент3 5" xfId="66"/>
    <cellStyle name="Акцент4" xfId="33" builtinId="41" customBuiltin="1"/>
    <cellStyle name="Акцент4 2" xfId="67"/>
    <cellStyle name="Акцент4 3" xfId="68"/>
    <cellStyle name="Акцент4 4" xfId="69"/>
    <cellStyle name="Акцент4 5" xfId="70"/>
    <cellStyle name="Акцент5" xfId="34" builtinId="45" customBuiltin="1"/>
    <cellStyle name="Акцент5 2" xfId="71"/>
    <cellStyle name="Акцент5 3" xfId="72"/>
    <cellStyle name="Акцент5 4" xfId="73"/>
    <cellStyle name="Акцент5 5" xfId="74"/>
    <cellStyle name="Акцент6" xfId="35" builtinId="49" customBuiltin="1"/>
    <cellStyle name="Акцент6 2" xfId="75"/>
    <cellStyle name="Акцент6 3" xfId="76"/>
    <cellStyle name="Акцент6 4" xfId="77"/>
    <cellStyle name="Акцент6 5" xfId="78"/>
    <cellStyle name="Ввод " xfId="22" builtinId="20" customBuiltin="1"/>
    <cellStyle name="Ввод  2" xfId="79"/>
    <cellStyle name="Ввод  3" xfId="80"/>
    <cellStyle name="Ввод  4" xfId="81"/>
    <cellStyle name="Ввод  5" xfId="82"/>
    <cellStyle name="Вывод" xfId="23" builtinId="21" customBuiltin="1"/>
    <cellStyle name="Вывод 2" xfId="83"/>
    <cellStyle name="Вывод 3" xfId="84"/>
    <cellStyle name="Вывод 4" xfId="85"/>
    <cellStyle name="Вывод 5" xfId="86"/>
    <cellStyle name="Вычисление" xfId="24" builtinId="22" customBuiltin="1"/>
    <cellStyle name="Вычисление 2" xfId="87"/>
    <cellStyle name="Вычисление 3" xfId="88"/>
    <cellStyle name="Вычисление 4" xfId="89"/>
    <cellStyle name="Вычисление 5" xfId="90"/>
    <cellStyle name="Денежный 2" xfId="142"/>
    <cellStyle name="Денежный 3" xfId="143"/>
    <cellStyle name="Заголовок" xfId="9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Итог 2" xfId="92"/>
    <cellStyle name="Итог 3" xfId="93"/>
    <cellStyle name="Итог 4" xfId="94"/>
    <cellStyle name="Итог 5" xfId="95"/>
    <cellStyle name="Контрольная ячейка" xfId="26" builtinId="23" customBuiltin="1"/>
    <cellStyle name="Контрольная ячейка 2" xfId="96"/>
    <cellStyle name="Контрольная ячейка 3" xfId="97"/>
    <cellStyle name="Контрольная ячейка 4" xfId="98"/>
    <cellStyle name="Контрольная ячейка 5" xfId="99"/>
    <cellStyle name="Название 2" xfId="45"/>
    <cellStyle name="Название 3" xfId="137"/>
    <cellStyle name="Нейтральный" xfId="21" builtinId="28" customBuiltin="1"/>
    <cellStyle name="Нейтральный 2" xfId="100"/>
    <cellStyle name="Нейтральный 3" xfId="101"/>
    <cellStyle name="Нейтральный 4" xfId="102"/>
    <cellStyle name="Нейтральный 5" xfId="103"/>
    <cellStyle name="Обычный" xfId="0" builtinId="0"/>
    <cellStyle name="Обычный 10" xfId="8"/>
    <cellStyle name="Обычный 10 2" xfId="42"/>
    <cellStyle name="Обычный 11" xfId="7"/>
    <cellStyle name="Обычный 12" xfId="10"/>
    <cellStyle name="Обычный 13" xfId="12"/>
    <cellStyle name="Обычный 2" xfId="3"/>
    <cellStyle name="Обычный 2 2" xfId="4"/>
    <cellStyle name="Обычный 2 2 2" xfId="104"/>
    <cellStyle name="Обычный 2 2 3" xfId="46"/>
    <cellStyle name="Обычный 2 2 4" xfId="145"/>
    <cellStyle name="Обычный 2 3" xfId="105"/>
    <cellStyle name="Обычный 2 3 2" xfId="146"/>
    <cellStyle name="Обычный 2 3 2 2" xfId="174"/>
    <cellStyle name="Обычный 2 4" xfId="106"/>
    <cellStyle name="Обычный 2 5" xfId="107"/>
    <cellStyle name="Обычный 2 5 2" xfId="147"/>
    <cellStyle name="Обычный 2 5 2 2" xfId="175"/>
    <cellStyle name="Обычный 2 6" xfId="54"/>
    <cellStyle name="Обычный 2 7" xfId="36"/>
    <cellStyle name="Обычный 24" xfId="47"/>
    <cellStyle name="Обычный 24 2" xfId="148"/>
    <cellStyle name="Обычный 24 2 2" xfId="176"/>
    <cellStyle name="Обычный 25" xfId="48"/>
    <cellStyle name="Обычный 3" xfId="37"/>
    <cellStyle name="Обычный 3 2" xfId="50"/>
    <cellStyle name="Обычный 3 3" xfId="108"/>
    <cellStyle name="Обычный 31" xfId="151"/>
    <cellStyle name="Обычный 32" xfId="43"/>
    <cellStyle name="Обычный 33" xfId="44"/>
    <cellStyle name="Обычный 4" xfId="38"/>
    <cellStyle name="Обычный 4 2" xfId="109"/>
    <cellStyle name="Обычный 4 3" xfId="152"/>
    <cellStyle name="Обычный 4 3 2" xfId="177"/>
    <cellStyle name="Обычный 5" xfId="39"/>
    <cellStyle name="Обычный 5 2" xfId="110"/>
    <cellStyle name="Обычный 5 3" xfId="153"/>
    <cellStyle name="Обычный 5 3 2" xfId="178"/>
    <cellStyle name="Обычный 6" xfId="5"/>
    <cellStyle name="Обычный 7" xfId="136"/>
    <cellStyle name="Обычный 8" xfId="168"/>
    <cellStyle name="Обычный 9" xfId="173"/>
    <cellStyle name="Обычный_Лист1" xfId="171"/>
    <cellStyle name="Обычный_СВОД 2021 админ" xfId="172"/>
    <cellStyle name="Плохой" xfId="20" builtinId="27" customBuiltin="1"/>
    <cellStyle name="Плохой 2" xfId="111"/>
    <cellStyle name="Плохой 3" xfId="112"/>
    <cellStyle name="Плохой 4" xfId="113"/>
    <cellStyle name="Плохой 5" xfId="114"/>
    <cellStyle name="Пояснение" xfId="28" builtinId="53" customBuiltin="1"/>
    <cellStyle name="Пояснение 2" xfId="115"/>
    <cellStyle name="Пояснение 3" xfId="116"/>
    <cellStyle name="Пояснение 4" xfId="117"/>
    <cellStyle name="Пояснение 5" xfId="118"/>
    <cellStyle name="Примечание" xfId="135" builtinId="10" customBuiltin="1"/>
    <cellStyle name="Примечание 2" xfId="49"/>
    <cellStyle name="Примечание 2 2" xfId="119"/>
    <cellStyle name="Примечание 3" xfId="120"/>
    <cellStyle name="Примечание 4" xfId="121"/>
    <cellStyle name="Примечание 5" xfId="122"/>
    <cellStyle name="Процентный 2" xfId="154"/>
    <cellStyle name="Процентный 3" xfId="179"/>
    <cellStyle name="Связанная ячейка" xfId="25" builtinId="24" customBuiltin="1"/>
    <cellStyle name="Связанная ячейка 2" xfId="123"/>
    <cellStyle name="Связанная ячейка 3" xfId="124"/>
    <cellStyle name="Связанная ячейка 4" xfId="125"/>
    <cellStyle name="Связанная ячейка 5" xfId="126"/>
    <cellStyle name="Текст предупреждения" xfId="27" builtinId="11" customBuiltin="1"/>
    <cellStyle name="Текст предупреждения 2" xfId="127"/>
    <cellStyle name="Текст предупреждения 3" xfId="128"/>
    <cellStyle name="Текст предупреждения 4" xfId="129"/>
    <cellStyle name="Текст предупреждения 5" xfId="130"/>
    <cellStyle name="Финансовый" xfId="1" builtinId="3"/>
    <cellStyle name="Финансовый 10" xfId="9"/>
    <cellStyle name="Финансовый 11" xfId="11"/>
    <cellStyle name="Финансовый 12" xfId="13"/>
    <cellStyle name="Финансовый 13" xfId="180"/>
    <cellStyle name="Финансовый 2" xfId="2"/>
    <cellStyle name="Финансовый 2 2" xfId="14"/>
    <cellStyle name="Финансовый 2 2 2" xfId="52"/>
    <cellStyle name="Финансовый 2 2 3" xfId="158"/>
    <cellStyle name="Финансовый 2 2 4" xfId="166"/>
    <cellStyle name="Финансовый 2 2 5" xfId="181"/>
    <cellStyle name="Финансовый 2 3" xfId="40"/>
    <cellStyle name="Финансовый 2 3 2" xfId="182"/>
    <cellStyle name="Финансовый 2 4" xfId="155"/>
    <cellStyle name="Финансовый 2 4 2" xfId="157"/>
    <cellStyle name="Финансовый 2 5" xfId="159"/>
    <cellStyle name="Финансовый 2 6" xfId="164"/>
    <cellStyle name="Финансовый 3" xfId="41"/>
    <cellStyle name="Финансовый 3 2" xfId="53"/>
    <cellStyle name="Финансовый 3 2 2" xfId="139"/>
    <cellStyle name="Финансовый 3 2 3" xfId="167"/>
    <cellStyle name="Финансовый 3 2 4" xfId="184"/>
    <cellStyle name="Финансовый 3 3" xfId="156"/>
    <cellStyle name="Финансовый 3 3 2" xfId="144"/>
    <cellStyle name="Финансовый 3 3 3" xfId="185"/>
    <cellStyle name="Финансовый 3 4" xfId="165"/>
    <cellStyle name="Финансовый 3 5" xfId="183"/>
    <cellStyle name="Финансовый 4" xfId="138"/>
    <cellStyle name="Финансовый 4 2" xfId="150"/>
    <cellStyle name="Финансовый 4 3" xfId="149"/>
    <cellStyle name="Финансовый 4 4" xfId="186"/>
    <cellStyle name="Финансовый 5" xfId="161"/>
    <cellStyle name="Финансовый 6" xfId="162"/>
    <cellStyle name="Финансовый 7" xfId="6"/>
    <cellStyle name="Финансовый 7 2" xfId="163"/>
    <cellStyle name="Финансовый 8" xfId="169"/>
    <cellStyle name="Финансовый 9" xfId="170"/>
    <cellStyle name="Хороший" xfId="19" builtinId="26" customBuiltin="1"/>
    <cellStyle name="Хороший 2" xfId="131"/>
    <cellStyle name="Хороший 3" xfId="132"/>
    <cellStyle name="Хороший 4" xfId="133"/>
    <cellStyle name="Хороший 5" xfId="134"/>
    <cellStyle name="Ячейка_таблицы" xfId="51"/>
  </cellStyles>
  <dxfs count="0"/>
  <tableStyles count="0" defaultTableStyle="TableStyleMedium9" defaultPivotStyle="PivotStyleLight16"/>
  <colors>
    <mruColors>
      <color rgb="FFFFCCFF"/>
      <color rgb="FFFFFFCC"/>
      <color rgb="FF0000FF"/>
      <color rgb="FFCCFFCC"/>
      <color rgb="FF0066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57;&#1055;&#1054;&#1051;&#1053;&#1045;&#1053;&#1048;&#1045;%20&#1058;&#1040;&#1056;&#1048;&#1060;&#1053;&#1067;&#1061;%20&#1057;&#1052;&#1045;&#1058;/&#1048;&#1057;&#1055;&#1054;&#1051;&#1053;&#1045;&#1053;&#1048;&#1045;%20&#1058;&#1040;&#1056;&#1048;&#1060;&#1053;&#1067;&#1061;%20&#1057;&#1052;&#1045;&#1058;%202022/&#1048;&#1089;&#1087;&#1086;&#1083;&#1085;&#1077;&#1085;&#1080;&#1077;%20&#1048;&#1055;%20&#1087;&#1086;&#1083;&#1091;&#1075;&#1086;&#1076;&#1080;&#1077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ИП 2021 общ"/>
      <sheetName val="Исполнение ИП 2022 пер тэ"/>
      <sheetName val="Исполнение ИП 2021 снабжение тэ"/>
      <sheetName val="Исполнение ИП 2021 вода"/>
      <sheetName val="Исполнение ИП 2021 отвед"/>
      <sheetName val="передача тепла 22"/>
      <sheetName val="передача тепла 23"/>
      <sheetName val="Снабжение тепла 22"/>
      <sheetName val="Снабжение тепла 23"/>
      <sheetName val="вода 22"/>
      <sheetName val="вода 23"/>
      <sheetName val="кнс"/>
      <sheetName val="кнс 23"/>
      <sheetName val="сводна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4">
          <cell r="C44">
            <v>3129.4</v>
          </cell>
        </row>
        <row r="45">
          <cell r="C45">
            <v>816.9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9"/>
  <sheetViews>
    <sheetView tabSelected="1" view="pageBreakPreview" zoomScale="80" zoomScaleNormal="55" zoomScaleSheetLayoutView="80" workbookViewId="0">
      <pane xSplit="2" ySplit="18" topLeftCell="C47" activePane="bottomRight" state="frozen"/>
      <selection activeCell="A3" sqref="A3"/>
      <selection pane="topRight" activeCell="C3" sqref="C3"/>
      <selection pane="bottomLeft" activeCell="A19" sqref="A19"/>
      <selection pane="bottomRight" activeCell="C55" sqref="C55"/>
    </sheetView>
  </sheetViews>
  <sheetFormatPr defaultRowHeight="15.75"/>
  <cols>
    <col min="1" max="1" width="7.42578125" style="18" customWidth="1"/>
    <col min="2" max="2" width="43.28515625" style="2" customWidth="1"/>
    <col min="3" max="3" width="14.7109375" style="19" customWidth="1"/>
    <col min="4" max="4" width="21.28515625" style="19" customWidth="1"/>
    <col min="5" max="5" width="20.5703125" style="2" customWidth="1"/>
    <col min="6" max="6" width="18.85546875" style="28" customWidth="1"/>
    <col min="7" max="7" width="13.85546875" style="23" customWidth="1"/>
    <col min="8" max="8" width="18.140625" style="36" hidden="1" customWidth="1"/>
    <col min="9" max="9" width="21.42578125" style="36" hidden="1" customWidth="1"/>
    <col min="10" max="10" width="18.85546875" style="24" hidden="1" customWidth="1"/>
    <col min="11" max="11" width="16.7109375" style="24" hidden="1" customWidth="1"/>
    <col min="12" max="12" width="19.140625" hidden="1" customWidth="1"/>
    <col min="13" max="13" width="16.7109375" hidden="1" customWidth="1"/>
    <col min="14" max="14" width="18.28515625" hidden="1" customWidth="1"/>
    <col min="15" max="15" width="21.42578125" hidden="1" customWidth="1"/>
    <col min="16" max="16" width="18.85546875" style="24" hidden="1" customWidth="1"/>
    <col min="17" max="17" width="16.7109375" style="27" hidden="1" customWidth="1"/>
    <col min="18" max="18" width="18.28515625" hidden="1" customWidth="1"/>
    <col min="19" max="19" width="16" hidden="1" customWidth="1"/>
    <col min="20" max="20" width="13.140625" customWidth="1"/>
    <col min="21" max="21" width="9.140625" customWidth="1"/>
    <col min="22" max="22" width="12.140625" bestFit="1" customWidth="1"/>
  </cols>
  <sheetData>
    <row r="1" spans="1:19" ht="62.25" customHeight="1">
      <c r="B1" s="382" t="s">
        <v>192</v>
      </c>
      <c r="C1" s="382"/>
      <c r="D1" s="382"/>
      <c r="E1" s="382"/>
      <c r="F1" s="382"/>
      <c r="G1" s="382"/>
    </row>
    <row r="2" spans="1:19" ht="14.25" customHeight="1"/>
    <row r="3" spans="1:19" s="71" customFormat="1" ht="20.25" customHeight="1">
      <c r="A3" s="100"/>
      <c r="B3" s="100"/>
      <c r="C3" s="100"/>
      <c r="D3" s="100"/>
      <c r="E3" s="239"/>
      <c r="F3" s="130"/>
      <c r="G3" s="130"/>
      <c r="H3" s="1"/>
      <c r="I3" s="1"/>
      <c r="J3" s="78"/>
      <c r="K3" s="78"/>
      <c r="P3" s="78"/>
      <c r="Q3" s="80"/>
    </row>
    <row r="4" spans="1:19" s="71" customFormat="1" ht="18.75">
      <c r="A4" s="81" t="s">
        <v>181</v>
      </c>
      <c r="B4" s="1"/>
      <c r="C4" s="72"/>
      <c r="D4" s="72"/>
      <c r="E4" s="1"/>
      <c r="F4" s="78"/>
      <c r="G4" s="80"/>
      <c r="H4" s="1"/>
      <c r="I4" s="1"/>
      <c r="J4" s="78"/>
      <c r="K4" s="78"/>
      <c r="P4" s="78"/>
      <c r="Q4" s="80"/>
    </row>
    <row r="5" spans="1:19" s="71" customFormat="1" ht="18.75">
      <c r="A5" s="81" t="s">
        <v>164</v>
      </c>
      <c r="B5" s="1"/>
      <c r="C5" s="72"/>
      <c r="D5" s="72"/>
      <c r="E5" s="1"/>
      <c r="F5" s="78"/>
      <c r="G5" s="80"/>
      <c r="H5" s="1"/>
      <c r="I5" s="1"/>
      <c r="J5" s="78"/>
      <c r="K5" s="78"/>
      <c r="P5" s="78"/>
      <c r="Q5" s="80"/>
    </row>
    <row r="6" spans="1:19" s="71" customFormat="1" ht="18.75">
      <c r="A6" s="81" t="s">
        <v>182</v>
      </c>
      <c r="B6" s="1"/>
      <c r="C6" s="72"/>
      <c r="D6" s="72"/>
      <c r="E6" s="1"/>
      <c r="F6" s="78"/>
      <c r="G6" s="80"/>
      <c r="H6" s="1"/>
      <c r="I6" s="1"/>
      <c r="J6" s="78"/>
      <c r="K6" s="78"/>
      <c r="P6" s="78"/>
      <c r="Q6" s="80"/>
    </row>
    <row r="7" spans="1:19" s="71" customFormat="1" ht="18.75">
      <c r="A7" s="81" t="s">
        <v>165</v>
      </c>
      <c r="B7" s="1"/>
      <c r="C7" s="72"/>
      <c r="D7" s="72"/>
      <c r="E7" s="1"/>
      <c r="F7" s="78"/>
      <c r="G7" s="80"/>
      <c r="H7" s="1"/>
      <c r="I7" s="1"/>
      <c r="J7" s="78"/>
      <c r="K7" s="78"/>
      <c r="P7" s="78"/>
      <c r="Q7" s="80"/>
    </row>
    <row r="8" spans="1:19" s="71" customFormat="1" ht="39.75" customHeight="1">
      <c r="A8" s="373" t="s">
        <v>166</v>
      </c>
      <c r="B8" s="373"/>
      <c r="C8" s="373"/>
      <c r="D8" s="373"/>
      <c r="E8" s="373"/>
      <c r="F8" s="373"/>
      <c r="G8" s="373"/>
      <c r="H8" s="1"/>
      <c r="I8" s="1"/>
      <c r="J8" s="78"/>
      <c r="K8" s="78"/>
      <c r="P8" s="78"/>
      <c r="Q8" s="80"/>
    </row>
    <row r="9" spans="1:19" s="71" customFormat="1" ht="18.75">
      <c r="A9" s="81" t="s">
        <v>183</v>
      </c>
      <c r="B9" s="1"/>
      <c r="C9" s="1"/>
      <c r="D9" s="1"/>
      <c r="E9" s="1"/>
      <c r="F9" s="78"/>
      <c r="G9" s="80"/>
      <c r="H9" s="5"/>
      <c r="I9" s="5"/>
      <c r="J9" s="82"/>
      <c r="K9" s="82"/>
      <c r="P9" s="78"/>
      <c r="Q9" s="80"/>
    </row>
    <row r="10" spans="1:19" ht="23.25">
      <c r="A10" s="7"/>
      <c r="B10" s="6"/>
      <c r="C10" s="8"/>
      <c r="D10" s="8"/>
      <c r="E10" s="6"/>
      <c r="F10" s="29"/>
      <c r="G10" s="22"/>
      <c r="I10" s="37"/>
      <c r="J10" s="25"/>
      <c r="K10" s="25"/>
    </row>
    <row r="11" spans="1:19" ht="16.5" thickBot="1">
      <c r="I11" s="40"/>
    </row>
    <row r="12" spans="1:19" s="4" customFormat="1" ht="46.5" customHeight="1">
      <c r="A12" s="374" t="s">
        <v>1</v>
      </c>
      <c r="B12" s="383" t="s">
        <v>2</v>
      </c>
      <c r="C12" s="383" t="s">
        <v>131</v>
      </c>
      <c r="D12" s="385" t="s">
        <v>114</v>
      </c>
      <c r="E12" s="385"/>
      <c r="F12" s="386" t="s">
        <v>124</v>
      </c>
      <c r="G12" s="387"/>
      <c r="H12" s="376" t="s">
        <v>174</v>
      </c>
      <c r="I12" s="377"/>
      <c r="J12" s="378" t="s">
        <v>124</v>
      </c>
      <c r="K12" s="379"/>
      <c r="L12" s="380" t="s">
        <v>128</v>
      </c>
      <c r="M12" s="381"/>
      <c r="N12" s="376" t="s">
        <v>132</v>
      </c>
      <c r="O12" s="377"/>
      <c r="P12" s="369" t="s">
        <v>130</v>
      </c>
      <c r="Q12" s="370"/>
    </row>
    <row r="13" spans="1:19" s="79" customFormat="1" ht="73.5" customHeight="1" thickBot="1">
      <c r="A13" s="375"/>
      <c r="B13" s="384"/>
      <c r="C13" s="384"/>
      <c r="D13" s="191" t="s">
        <v>167</v>
      </c>
      <c r="E13" s="181" t="s">
        <v>168</v>
      </c>
      <c r="F13" s="182" t="s">
        <v>4</v>
      </c>
      <c r="G13" s="183" t="s">
        <v>109</v>
      </c>
      <c r="H13" s="184" t="s">
        <v>133</v>
      </c>
      <c r="I13" s="181" t="s">
        <v>168</v>
      </c>
      <c r="J13" s="182" t="s">
        <v>4</v>
      </c>
      <c r="K13" s="183" t="s">
        <v>109</v>
      </c>
      <c r="L13" s="184" t="s">
        <v>134</v>
      </c>
      <c r="M13" s="186" t="s">
        <v>163</v>
      </c>
      <c r="N13" s="184" t="s">
        <v>173</v>
      </c>
      <c r="O13" s="186" t="s">
        <v>163</v>
      </c>
      <c r="P13" s="182" t="s">
        <v>4</v>
      </c>
      <c r="Q13" s="185" t="s">
        <v>109</v>
      </c>
      <c r="S13" s="236"/>
    </row>
    <row r="14" spans="1:19" s="4" customFormat="1" hidden="1">
      <c r="A14" s="154"/>
      <c r="B14" s="166" t="s">
        <v>129</v>
      </c>
      <c r="C14" s="147"/>
      <c r="D14" s="103">
        <f>D84*D88</f>
        <v>1496341.2250000001</v>
      </c>
      <c r="E14" s="178" t="e">
        <f>#REF!*0.58</f>
        <v>#REF!</v>
      </c>
      <c r="F14" s="179" t="e">
        <f>E14-D14</f>
        <v>#REF!</v>
      </c>
      <c r="G14" s="52" t="e">
        <f>E14/D14*100-100</f>
        <v>#REF!</v>
      </c>
      <c r="H14" s="180" t="e">
        <f>D14+#REF!+#REF!+#REF!+#REF!</f>
        <v>#REF!</v>
      </c>
      <c r="I14" s="178" t="e">
        <f>E14+#REF!+#REF!+#REF!+#REF!</f>
        <v>#REF!</v>
      </c>
      <c r="J14" s="179" t="e">
        <f>I14-H14</f>
        <v>#REF!</v>
      </c>
      <c r="K14" s="179" t="e">
        <f>I14/H14*100-100</f>
        <v>#REF!</v>
      </c>
      <c r="L14" s="180" t="e">
        <f>#REF!/1000</f>
        <v>#REF!</v>
      </c>
      <c r="M14" s="178" t="e">
        <f>#REF!</f>
        <v>#REF!</v>
      </c>
      <c r="N14" s="180" t="e">
        <f>H14+L14</f>
        <v>#REF!</v>
      </c>
      <c r="O14" s="178" t="e">
        <f>I14+M14</f>
        <v>#REF!</v>
      </c>
      <c r="P14" s="179" t="e">
        <f>O14-N14</f>
        <v>#REF!</v>
      </c>
      <c r="Q14" s="52" t="e">
        <f>O14/N14*100-100</f>
        <v>#REF!</v>
      </c>
    </row>
    <row r="15" spans="1:19" s="4" customFormat="1" hidden="1">
      <c r="A15" s="154"/>
      <c r="B15" s="166" t="s">
        <v>135</v>
      </c>
      <c r="C15" s="147"/>
      <c r="D15" s="141"/>
      <c r="E15" s="192" t="e">
        <f>#REF!*0.4532</f>
        <v>#REF!</v>
      </c>
      <c r="F15" s="193"/>
      <c r="G15" s="194"/>
      <c r="H15" s="195"/>
      <c r="I15" s="192" t="e">
        <f>E15+#REF!+#REF!+#REF!+#REF!</f>
        <v>#REF!</v>
      </c>
      <c r="J15" s="193"/>
      <c r="K15" s="193"/>
      <c r="L15" s="195"/>
      <c r="M15" s="192"/>
      <c r="N15" s="195"/>
      <c r="O15" s="192" t="e">
        <f>(4331924083+471097608)/1000-O14</f>
        <v>#REF!</v>
      </c>
      <c r="P15" s="193"/>
      <c r="Q15" s="194"/>
    </row>
    <row r="16" spans="1:19" s="4" customFormat="1" hidden="1">
      <c r="A16" s="155"/>
      <c r="B16" s="167" t="s">
        <v>136</v>
      </c>
      <c r="C16" s="148"/>
      <c r="D16" s="196">
        <v>1385118.7992872854</v>
      </c>
      <c r="E16" s="197" t="e">
        <f>E14+E15</f>
        <v>#REF!</v>
      </c>
      <c r="F16" s="198" t="e">
        <f>E16-D16</f>
        <v>#REF!</v>
      </c>
      <c r="G16" s="199" t="e">
        <f>E16/D16*100-100</f>
        <v>#REF!</v>
      </c>
      <c r="H16" s="200" t="e">
        <f>H14+H15</f>
        <v>#REF!</v>
      </c>
      <c r="I16" s="197" t="e">
        <f>I14+I15</f>
        <v>#REF!</v>
      </c>
      <c r="J16" s="198" t="e">
        <f>I16-H16</f>
        <v>#REF!</v>
      </c>
      <c r="K16" s="198" t="e">
        <f>I16/H16*100-100</f>
        <v>#REF!</v>
      </c>
      <c r="L16" s="200" t="e">
        <f>L14+L15</f>
        <v>#REF!</v>
      </c>
      <c r="M16" s="197" t="e">
        <f>M14+M15</f>
        <v>#REF!</v>
      </c>
      <c r="N16" s="200" t="e">
        <f t="shared" ref="N16" si="0">N14+N15</f>
        <v>#REF!</v>
      </c>
      <c r="O16" s="197" t="e">
        <f>O14+O15</f>
        <v>#REF!</v>
      </c>
      <c r="P16" s="198" t="e">
        <f>O16-N16</f>
        <v>#REF!</v>
      </c>
      <c r="Q16" s="201" t="e">
        <f>O16/N16*100-100</f>
        <v>#REF!</v>
      </c>
    </row>
    <row r="17" spans="1:22" s="4" customFormat="1" hidden="1">
      <c r="A17" s="154"/>
      <c r="B17" s="147"/>
      <c r="C17" s="147"/>
      <c r="D17" s="141"/>
      <c r="E17" s="202"/>
      <c r="F17" s="203"/>
      <c r="G17" s="204"/>
      <c r="H17" s="205"/>
      <c r="I17" s="207"/>
      <c r="J17" s="208"/>
      <c r="K17" s="208"/>
      <c r="L17" s="209"/>
      <c r="M17" s="207"/>
      <c r="N17" s="209"/>
      <c r="O17" s="207"/>
      <c r="P17" s="208"/>
      <c r="Q17" s="210"/>
    </row>
    <row r="18" spans="1:22" s="4" customFormat="1" hidden="1">
      <c r="A18" s="154"/>
      <c r="B18" s="147"/>
      <c r="C18" s="147"/>
      <c r="D18" s="103"/>
      <c r="E18" s="202"/>
      <c r="F18" s="203"/>
      <c r="G18" s="204"/>
      <c r="H18" s="205"/>
      <c r="I18" s="207"/>
      <c r="J18" s="208"/>
      <c r="K18" s="208"/>
      <c r="L18" s="209"/>
      <c r="M18" s="207"/>
      <c r="N18" s="209"/>
      <c r="O18" s="207"/>
      <c r="P18" s="208"/>
      <c r="Q18" s="210"/>
    </row>
    <row r="19" spans="1:22" s="4" customFormat="1" ht="16.5" thickBot="1">
      <c r="A19" s="216"/>
      <c r="B19" s="217"/>
      <c r="C19" s="217"/>
      <c r="D19" s="265"/>
      <c r="E19" s="266"/>
      <c r="F19" s="267"/>
      <c r="G19" s="268"/>
      <c r="H19" s="271"/>
      <c r="I19" s="276"/>
      <c r="J19" s="182"/>
      <c r="K19" s="182"/>
      <c r="L19" s="184"/>
      <c r="M19" s="181"/>
      <c r="N19" s="184"/>
      <c r="O19" s="181"/>
      <c r="P19" s="182"/>
      <c r="Q19" s="185"/>
    </row>
    <row r="20" spans="1:22" ht="47.25">
      <c r="A20" s="156" t="s">
        <v>3</v>
      </c>
      <c r="B20" s="168" t="s">
        <v>137</v>
      </c>
      <c r="C20" s="253" t="s">
        <v>138</v>
      </c>
      <c r="D20" s="277">
        <f>D21+D27+D32+D36+D33</f>
        <v>1404767.375</v>
      </c>
      <c r="E20" s="277">
        <f t="shared" ref="E20:I20" si="1">E21+E27+E32+E36+E33</f>
        <v>588491.1258718</v>
      </c>
      <c r="F20" s="277">
        <f t="shared" si="1"/>
        <v>-816276.2491282</v>
      </c>
      <c r="G20" s="277">
        <f t="shared" ref="G20:G21" si="2">E20/D20*100-100</f>
        <v>-58.10757451056265</v>
      </c>
      <c r="H20" s="277" t="e">
        <f t="shared" si="1"/>
        <v>#REF!</v>
      </c>
      <c r="I20" s="277" t="e">
        <f t="shared" si="1"/>
        <v>#REF!</v>
      </c>
      <c r="J20" s="188" t="e">
        <f>I20-H20</f>
        <v>#REF!</v>
      </c>
      <c r="K20" s="188" t="e">
        <f>I20/H20*100-100</f>
        <v>#REF!</v>
      </c>
      <c r="L20" s="189" t="e">
        <f>L21+L27+L32+L36+L33</f>
        <v>#REF!</v>
      </c>
      <c r="M20" s="187">
        <f>M21+M27+M32+M36+M33</f>
        <v>0</v>
      </c>
      <c r="N20" s="189" t="e">
        <f>N21+N27+N32+N36+N33</f>
        <v>#REF!</v>
      </c>
      <c r="O20" s="187" t="e">
        <f>O21+O27+O32+O36+O33</f>
        <v>#REF!</v>
      </c>
      <c r="P20" s="188" t="e">
        <f>O20-N20</f>
        <v>#REF!</v>
      </c>
      <c r="Q20" s="190" t="e">
        <f>O20/N20*100-100</f>
        <v>#REF!</v>
      </c>
      <c r="R20" s="241"/>
    </row>
    <row r="21" spans="1:22" ht="31.5">
      <c r="A21" s="157">
        <v>1</v>
      </c>
      <c r="B21" s="169" t="s">
        <v>139</v>
      </c>
      <c r="C21" s="254" t="s">
        <v>140</v>
      </c>
      <c r="D21" s="280">
        <f>SUM(D22:D26)</f>
        <v>320309.995</v>
      </c>
      <c r="E21" s="280">
        <f t="shared" ref="E21:I21" si="3">SUM(E22:E26)</f>
        <v>125726.80809667599</v>
      </c>
      <c r="F21" s="280">
        <f t="shared" si="3"/>
        <v>-194583.18690332401</v>
      </c>
      <c r="G21" s="280">
        <f t="shared" si="2"/>
        <v>-60.748396847036886</v>
      </c>
      <c r="H21" s="280" t="e">
        <f t="shared" si="3"/>
        <v>#REF!</v>
      </c>
      <c r="I21" s="280" t="e">
        <f t="shared" si="3"/>
        <v>#REF!</v>
      </c>
      <c r="J21" s="31" t="e">
        <f>I21-H21</f>
        <v>#REF!</v>
      </c>
      <c r="K21" s="31" t="e">
        <f>I21/H21*100-100</f>
        <v>#REF!</v>
      </c>
      <c r="L21" s="44">
        <f t="shared" ref="L21:O21" si="4">SUM(L22:L26)</f>
        <v>0</v>
      </c>
      <c r="M21" s="11">
        <f t="shared" si="4"/>
        <v>0</v>
      </c>
      <c r="N21" s="44" t="e">
        <f t="shared" si="4"/>
        <v>#REF!</v>
      </c>
      <c r="O21" s="11" t="e">
        <f t="shared" si="4"/>
        <v>#REF!</v>
      </c>
      <c r="P21" s="31" t="e">
        <f>O21-N21</f>
        <v>#REF!</v>
      </c>
      <c r="Q21" s="61" t="e">
        <f>O21/N21*100-100</f>
        <v>#REF!</v>
      </c>
      <c r="R21" s="241"/>
    </row>
    <row r="22" spans="1:22" s="3" customFormat="1">
      <c r="A22" s="158" t="s">
        <v>64</v>
      </c>
      <c r="B22" s="170" t="s">
        <v>5</v>
      </c>
      <c r="C22" s="255" t="s">
        <v>140</v>
      </c>
      <c r="D22" s="283">
        <v>58518.142999999996</v>
      </c>
      <c r="E22" s="283">
        <f>41141367.33/1000</f>
        <v>41141.367330000001</v>
      </c>
      <c r="F22" s="252">
        <f t="shared" ref="F22:F81" si="5">E22-D22</f>
        <v>-17376.775669999995</v>
      </c>
      <c r="G22" s="252">
        <f>E22/D22*100-100</f>
        <v>-29.694680622384055</v>
      </c>
      <c r="H22" s="283" t="e">
        <f>D22+#REF!+#REF!+#REF!+#REF!</f>
        <v>#REF!</v>
      </c>
      <c r="I22" s="283" t="e">
        <f>E22+#REF!+#REF!+#REF!+#REF!</f>
        <v>#REF!</v>
      </c>
      <c r="J22" s="21" t="e">
        <f>I22-H22</f>
        <v>#REF!</v>
      </c>
      <c r="K22" s="21" t="e">
        <f>I22/H22*100-100</f>
        <v>#REF!</v>
      </c>
      <c r="L22" s="53"/>
      <c r="M22" s="9"/>
      <c r="N22" s="53" t="e">
        <f>H22+L22</f>
        <v>#REF!</v>
      </c>
      <c r="O22" s="9" t="e">
        <f>E22+#REF!+#REF!+#REF!+#REF!+M22</f>
        <v>#REF!</v>
      </c>
      <c r="P22" s="21" t="e">
        <f>O22-N22</f>
        <v>#REF!</v>
      </c>
      <c r="Q22" s="54" t="e">
        <f>O22/N22*100-100</f>
        <v>#REF!</v>
      </c>
      <c r="R22" s="242"/>
      <c r="S22" s="96"/>
      <c r="T22" s="96"/>
    </row>
    <row r="23" spans="1:22" s="3" customFormat="1" hidden="1">
      <c r="A23" s="158" t="s">
        <v>65</v>
      </c>
      <c r="B23" s="170" t="s">
        <v>141</v>
      </c>
      <c r="C23" s="255" t="s">
        <v>140</v>
      </c>
      <c r="D23" s="283"/>
      <c r="E23" s="283"/>
      <c r="F23" s="252"/>
      <c r="G23" s="252"/>
      <c r="H23" s="283"/>
      <c r="I23" s="283"/>
      <c r="J23" s="21"/>
      <c r="K23" s="21"/>
      <c r="L23" s="53"/>
      <c r="M23" s="9"/>
      <c r="N23" s="53">
        <f>H23+L23</f>
        <v>0</v>
      </c>
      <c r="O23" s="9">
        <f>SUM(H23:M23)</f>
        <v>0</v>
      </c>
      <c r="P23" s="21"/>
      <c r="Q23" s="54"/>
      <c r="R23" s="243"/>
    </row>
    <row r="24" spans="1:22" s="3" customFormat="1">
      <c r="A24" s="158" t="s">
        <v>65</v>
      </c>
      <c r="B24" s="170" t="s">
        <v>142</v>
      </c>
      <c r="C24" s="255" t="s">
        <v>140</v>
      </c>
      <c r="D24" s="283">
        <v>30931.982</v>
      </c>
      <c r="E24" s="283">
        <f>(2004070.13/1000+12716.8/1000)*E77+7726296.68/1000+20573429.25/1000</f>
        <v>29213.733766676</v>
      </c>
      <c r="F24" s="252">
        <f t="shared" si="5"/>
        <v>-1718.2482333240005</v>
      </c>
      <c r="G24" s="252">
        <f t="shared" ref="G24:G83" si="6">E24/D24*100-100</f>
        <v>-5.554924457553355</v>
      </c>
      <c r="H24" s="283" t="e">
        <f>D24+#REF!+#REF!+#REF!+#REF!</f>
        <v>#REF!</v>
      </c>
      <c r="I24" s="283" t="e">
        <f>E24+#REF!+#REF!+#REF!+#REF!</f>
        <v>#REF!</v>
      </c>
      <c r="J24" s="21" t="e">
        <f>I24-H24</f>
        <v>#REF!</v>
      </c>
      <c r="K24" s="21" t="e">
        <f>I24/H24*100-100</f>
        <v>#REF!</v>
      </c>
      <c r="L24" s="53"/>
      <c r="M24" s="9"/>
      <c r="N24" s="53" t="e">
        <f>H24+L24</f>
        <v>#REF!</v>
      </c>
      <c r="O24" s="9" t="e">
        <f>E24+#REF!+#REF!+#REF!+#REF!+M24</f>
        <v>#REF!</v>
      </c>
      <c r="P24" s="21" t="e">
        <f>O24-N24</f>
        <v>#REF!</v>
      </c>
      <c r="Q24" s="54" t="e">
        <f>O24/N24*100-100</f>
        <v>#REF!</v>
      </c>
      <c r="R24" s="242">
        <v>1648.9552099999999</v>
      </c>
      <c r="S24" s="96" t="e">
        <f>I24-R24</f>
        <v>#REF!</v>
      </c>
      <c r="T24" s="96"/>
    </row>
    <row r="25" spans="1:22" s="3" customFormat="1" hidden="1">
      <c r="A25" s="158" t="s">
        <v>67</v>
      </c>
      <c r="B25" s="170" t="s">
        <v>143</v>
      </c>
      <c r="C25" s="255" t="s">
        <v>140</v>
      </c>
      <c r="D25" s="283"/>
      <c r="E25" s="283"/>
      <c r="F25" s="252"/>
      <c r="G25" s="252"/>
      <c r="H25" s="283"/>
      <c r="I25" s="283"/>
      <c r="J25" s="21"/>
      <c r="K25" s="21"/>
      <c r="L25" s="53"/>
      <c r="M25" s="9"/>
      <c r="N25" s="53">
        <f>H25+L25</f>
        <v>0</v>
      </c>
      <c r="O25" s="9">
        <f>SUM(H25:M25)</f>
        <v>0</v>
      </c>
      <c r="P25" s="21"/>
      <c r="Q25" s="54"/>
      <c r="R25" s="242"/>
    </row>
    <row r="26" spans="1:22" s="3" customFormat="1">
      <c r="A26" s="158" t="s">
        <v>66</v>
      </c>
      <c r="B26" s="170" t="s">
        <v>6</v>
      </c>
      <c r="C26" s="255" t="s">
        <v>140</v>
      </c>
      <c r="D26" s="283">
        <v>230859.87</v>
      </c>
      <c r="E26" s="283">
        <f>55371707/1000</f>
        <v>55371.707000000002</v>
      </c>
      <c r="F26" s="252">
        <f t="shared" si="5"/>
        <v>-175488.163</v>
      </c>
      <c r="G26" s="252">
        <f t="shared" si="6"/>
        <v>-76.015014216199631</v>
      </c>
      <c r="H26" s="283" t="e">
        <f>D26+#REF!+#REF!+#REF!+#REF!</f>
        <v>#REF!</v>
      </c>
      <c r="I26" s="283" t="e">
        <f>E26+#REF!+#REF!+#REF!+#REF!</f>
        <v>#REF!</v>
      </c>
      <c r="J26" s="21" t="e">
        <f>I26-H26</f>
        <v>#REF!</v>
      </c>
      <c r="K26" s="21" t="e">
        <f>I26/H26*100-100</f>
        <v>#REF!</v>
      </c>
      <c r="L26" s="53"/>
      <c r="M26" s="87"/>
      <c r="N26" s="53" t="e">
        <f>H26+L26</f>
        <v>#REF!</v>
      </c>
      <c r="O26" s="9" t="e">
        <f>E26+#REF!+#REF!+#REF!+#REF!+M26</f>
        <v>#REF!</v>
      </c>
      <c r="P26" s="21" t="e">
        <f>O26-N26</f>
        <v>#REF!</v>
      </c>
      <c r="Q26" s="54" t="e">
        <f>O26/N26*100-100</f>
        <v>#REF!</v>
      </c>
      <c r="R26" s="242"/>
      <c r="S26" s="235"/>
      <c r="T26" s="96"/>
      <c r="V26" s="96"/>
    </row>
    <row r="27" spans="1:22" ht="31.5">
      <c r="A27" s="157">
        <v>2</v>
      </c>
      <c r="B27" s="169" t="s">
        <v>144</v>
      </c>
      <c r="C27" s="254" t="s">
        <v>140</v>
      </c>
      <c r="D27" s="280">
        <f>D28+D29+D30+D31</f>
        <v>344625.14</v>
      </c>
      <c r="E27" s="280">
        <f>E28+E29+E30+E31</f>
        <v>259601.16498</v>
      </c>
      <c r="F27" s="280">
        <f t="shared" ref="F27:H27" si="7">F28+F29+F30+F31</f>
        <v>-85023.975019999998</v>
      </c>
      <c r="G27" s="280">
        <f>E27/D27*100-100</f>
        <v>-24.671437208556526</v>
      </c>
      <c r="H27" s="280" t="e">
        <f t="shared" si="7"/>
        <v>#REF!</v>
      </c>
      <c r="I27" s="280" t="e">
        <f>I28+I29+I30+I31</f>
        <v>#REF!</v>
      </c>
      <c r="J27" s="31" t="e">
        <f>I27-H27</f>
        <v>#REF!</v>
      </c>
      <c r="K27" s="31" t="e">
        <f>I27/H27*100-100</f>
        <v>#REF!</v>
      </c>
      <c r="L27" s="44"/>
      <c r="M27" s="11"/>
      <c r="N27" s="44" t="e">
        <f>SUM(N28:N29)</f>
        <v>#REF!</v>
      </c>
      <c r="O27" s="11" t="e">
        <f>SUM(O28:O29)</f>
        <v>#REF!</v>
      </c>
      <c r="P27" s="31" t="e">
        <f>O27-N27</f>
        <v>#REF!</v>
      </c>
      <c r="Q27" s="61" t="e">
        <f>O27/N27*100-100</f>
        <v>#REF!</v>
      </c>
      <c r="R27" s="242">
        <v>0</v>
      </c>
      <c r="S27" s="83"/>
      <c r="T27" s="83"/>
    </row>
    <row r="28" spans="1:22" ht="31.5">
      <c r="A28" s="245" t="s">
        <v>69</v>
      </c>
      <c r="B28" s="171" t="s">
        <v>7</v>
      </c>
      <c r="C28" s="256" t="s">
        <v>140</v>
      </c>
      <c r="D28" s="283">
        <v>317480.55499999999</v>
      </c>
      <c r="E28" s="283">
        <f>232598762.75/1000</f>
        <v>232598.76274999999</v>
      </c>
      <c r="F28" s="252">
        <f t="shared" si="5"/>
        <v>-84881.792249999999</v>
      </c>
      <c r="G28" s="252">
        <f t="shared" si="6"/>
        <v>-26.736060181701532</v>
      </c>
      <c r="H28" s="283" t="e">
        <f>D28+#REF!+#REF!+#REF!+#REF!</f>
        <v>#REF!</v>
      </c>
      <c r="I28" s="283" t="e">
        <f>E28+#REF!+#REF!+#REF!+#REF!</f>
        <v>#REF!</v>
      </c>
      <c r="J28" s="21" t="e">
        <f>I28-H28</f>
        <v>#REF!</v>
      </c>
      <c r="K28" s="21" t="e">
        <f>I28/H28*100-100</f>
        <v>#REF!</v>
      </c>
      <c r="L28" s="53"/>
      <c r="M28" s="9"/>
      <c r="N28" s="53" t="e">
        <f>H28+L28</f>
        <v>#REF!</v>
      </c>
      <c r="O28" s="9" t="e">
        <f>E29+#REF!+#REF!+#REF!+#REF!+M28</f>
        <v>#REF!</v>
      </c>
      <c r="P28" s="21" t="e">
        <f>O28-N28</f>
        <v>#REF!</v>
      </c>
      <c r="Q28" s="54" t="e">
        <f>O28/N28*100-100</f>
        <v>#REF!</v>
      </c>
      <c r="R28" s="242"/>
      <c r="S28" s="83"/>
      <c r="T28" s="83"/>
    </row>
    <row r="29" spans="1:22">
      <c r="A29" s="245" t="s">
        <v>70</v>
      </c>
      <c r="B29" s="171" t="s">
        <v>170</v>
      </c>
      <c r="C29" s="256" t="s">
        <v>140</v>
      </c>
      <c r="D29" s="283">
        <v>27144.584999999999</v>
      </c>
      <c r="E29" s="283">
        <f>7204249.03/1000+12352207.23/1000</f>
        <v>19556.456259999999</v>
      </c>
      <c r="F29" s="252">
        <f t="shared" si="5"/>
        <v>-7588.1287400000001</v>
      </c>
      <c r="G29" s="252">
        <f t="shared" si="6"/>
        <v>-27.954484255331224</v>
      </c>
      <c r="H29" s="283" t="e">
        <f>D29+#REF!+#REF!+#REF!+#REF!</f>
        <v>#REF!</v>
      </c>
      <c r="I29" s="283" t="e">
        <f>E29+#REF!+#REF!+#REF!+#REF!</f>
        <v>#REF!</v>
      </c>
      <c r="J29" s="21" t="e">
        <f>I29-H29</f>
        <v>#REF!</v>
      </c>
      <c r="K29" s="21" t="e">
        <f>I29/H29*100-100</f>
        <v>#REF!</v>
      </c>
      <c r="L29" s="53"/>
      <c r="M29" s="9"/>
      <c r="N29" s="53" t="e">
        <f>H29+L29</f>
        <v>#REF!</v>
      </c>
      <c r="O29" s="9" t="e">
        <f>E31+#REF!+#REF!+#REF!+#REF!+M29</f>
        <v>#REF!</v>
      </c>
      <c r="P29" s="21" t="e">
        <f>O29-N29</f>
        <v>#REF!</v>
      </c>
      <c r="Q29" s="54" t="e">
        <f>O29/N29*100-100</f>
        <v>#REF!</v>
      </c>
      <c r="R29" s="242"/>
      <c r="S29" s="83"/>
      <c r="T29" s="83"/>
    </row>
    <row r="30" spans="1:22">
      <c r="A30" s="245" t="s">
        <v>179</v>
      </c>
      <c r="B30" s="251" t="s">
        <v>177</v>
      </c>
      <c r="C30" s="256"/>
      <c r="D30" s="283"/>
      <c r="E30" s="283">
        <f>836983.27/1000</f>
        <v>836.98327000000006</v>
      </c>
      <c r="F30" s="252">
        <f t="shared" ref="F30:F31" si="8">E30-D30</f>
        <v>836.98327000000006</v>
      </c>
      <c r="G30" s="252"/>
      <c r="H30" s="283"/>
      <c r="I30" s="283" t="e">
        <f>E30+#REF!+#REF!+#REF!+#REF!</f>
        <v>#REF!</v>
      </c>
      <c r="J30" s="247"/>
      <c r="K30" s="247"/>
      <c r="L30" s="249"/>
      <c r="M30" s="250"/>
      <c r="N30" s="249"/>
      <c r="O30" s="250"/>
      <c r="P30" s="247"/>
      <c r="Q30" s="248"/>
      <c r="R30" s="242"/>
      <c r="S30" s="83"/>
      <c r="T30" s="83"/>
    </row>
    <row r="31" spans="1:22">
      <c r="A31" s="245" t="s">
        <v>180</v>
      </c>
      <c r="B31" s="171" t="s">
        <v>169</v>
      </c>
      <c r="C31" s="256"/>
      <c r="D31" s="283"/>
      <c r="E31" s="283">
        <f>6608962.7/1000</f>
        <v>6608.9627</v>
      </c>
      <c r="F31" s="252">
        <f t="shared" si="8"/>
        <v>6608.9627</v>
      </c>
      <c r="G31" s="252"/>
      <c r="H31" s="283"/>
      <c r="I31" s="283" t="e">
        <f>E31+#REF!+#REF!+#REF!+#REF!</f>
        <v>#REF!</v>
      </c>
      <c r="J31" s="92"/>
      <c r="K31" s="92"/>
      <c r="L31" s="91"/>
      <c r="M31" s="86"/>
      <c r="N31" s="91"/>
      <c r="O31" s="9" t="e">
        <f>#REF!+#REF!+#REF!+#REF!+#REF!+M31</f>
        <v>#REF!</v>
      </c>
      <c r="P31" s="92"/>
      <c r="Q31" s="93"/>
      <c r="R31" s="242"/>
      <c r="S31" s="83"/>
      <c r="T31" s="84"/>
    </row>
    <row r="32" spans="1:22">
      <c r="A32" s="157">
        <v>3</v>
      </c>
      <c r="B32" s="169" t="s">
        <v>8</v>
      </c>
      <c r="C32" s="257" t="s">
        <v>140</v>
      </c>
      <c r="D32" s="280">
        <v>108964.47</v>
      </c>
      <c r="E32" s="280">
        <f>3315654/1000*E77</f>
        <v>1502.6543927999999</v>
      </c>
      <c r="F32" s="280">
        <f t="shared" si="5"/>
        <v>-107461.8156072</v>
      </c>
      <c r="G32" s="280">
        <f t="shared" ref="G32:G33" si="9">E32/D32*100-100</f>
        <v>-98.620968474586263</v>
      </c>
      <c r="H32" s="280" t="e">
        <f>D32+#REF!+#REF!+#REF!+#REF!</f>
        <v>#REF!</v>
      </c>
      <c r="I32" s="280" t="e">
        <f>E32+#REF!+#REF!+#REF!+#REF!</f>
        <v>#REF!</v>
      </c>
      <c r="J32" s="31" t="e">
        <f>I32-H32</f>
        <v>#REF!</v>
      </c>
      <c r="K32" s="31" t="e">
        <f>I32/H32*100-100</f>
        <v>#REF!</v>
      </c>
      <c r="L32" s="44"/>
      <c r="M32" s="11"/>
      <c r="N32" s="44" t="e">
        <f>H32+L32</f>
        <v>#REF!</v>
      </c>
      <c r="O32" s="11" t="e">
        <f>E32+#REF!+#REF!+#REF!+#REF!+M32</f>
        <v>#REF!</v>
      </c>
      <c r="P32" s="31" t="e">
        <f>O32-N32</f>
        <v>#REF!</v>
      </c>
      <c r="Q32" s="61" t="e">
        <f>O32/N32*100-100</f>
        <v>#REF!</v>
      </c>
      <c r="R32" s="242"/>
      <c r="S32" s="83"/>
    </row>
    <row r="33" spans="1:20">
      <c r="A33" s="157">
        <v>4</v>
      </c>
      <c r="B33" s="169" t="s">
        <v>145</v>
      </c>
      <c r="C33" s="257"/>
      <c r="D33" s="280">
        <f>D34</f>
        <v>285896.01</v>
      </c>
      <c r="E33" s="280">
        <f t="shared" ref="E33:I33" si="10">E34</f>
        <v>12130.976499999999</v>
      </c>
      <c r="F33" s="280">
        <f t="shared" si="10"/>
        <v>-273765.03350000002</v>
      </c>
      <c r="G33" s="280">
        <f t="shared" si="9"/>
        <v>-95.756857012450084</v>
      </c>
      <c r="H33" s="280" t="e">
        <f t="shared" si="10"/>
        <v>#REF!</v>
      </c>
      <c r="I33" s="280" t="e">
        <f t="shared" si="10"/>
        <v>#REF!</v>
      </c>
      <c r="J33" s="31" t="e">
        <f>I33-H33</f>
        <v>#REF!</v>
      </c>
      <c r="K33" s="31" t="e">
        <f>I33/H33*100-100</f>
        <v>#REF!</v>
      </c>
      <c r="L33" s="44"/>
      <c r="M33" s="11"/>
      <c r="N33" s="44" t="e">
        <f>N35+N34</f>
        <v>#REF!</v>
      </c>
      <c r="O33" s="11" t="e">
        <f>O35+O34</f>
        <v>#REF!</v>
      </c>
      <c r="P33" s="31" t="e">
        <f>O33-N33</f>
        <v>#REF!</v>
      </c>
      <c r="Q33" s="61" t="e">
        <f>O33/N33*100-100</f>
        <v>#REF!</v>
      </c>
      <c r="R33" s="242">
        <v>0</v>
      </c>
    </row>
    <row r="34" spans="1:20" s="3" customFormat="1" ht="31.5" customHeight="1">
      <c r="A34" s="158" t="s">
        <v>71</v>
      </c>
      <c r="B34" s="170" t="s">
        <v>146</v>
      </c>
      <c r="C34" s="258" t="s">
        <v>140</v>
      </c>
      <c r="D34" s="283">
        <v>285896.01</v>
      </c>
      <c r="E34" s="283">
        <f>4025687.82/1000+434160.71/1000+2186800/1000+5401505/1000+2572.54/1000+80250.43/1000</f>
        <v>12130.976499999999</v>
      </c>
      <c r="F34" s="252">
        <f t="shared" si="5"/>
        <v>-273765.03350000002</v>
      </c>
      <c r="G34" s="252">
        <f t="shared" si="6"/>
        <v>-95.756857012450084</v>
      </c>
      <c r="H34" s="283" t="e">
        <f>D34+#REF!+#REF!+#REF!+#REF!</f>
        <v>#REF!</v>
      </c>
      <c r="I34" s="284" t="e">
        <f>E34+#REF!+#REF!+#REF!+#REF!</f>
        <v>#REF!</v>
      </c>
      <c r="J34" s="21" t="e">
        <f>I34-H34</f>
        <v>#REF!</v>
      </c>
      <c r="K34" s="21" t="e">
        <f>I34/H34*100-100</f>
        <v>#REF!</v>
      </c>
      <c r="L34" s="53"/>
      <c r="M34" s="9"/>
      <c r="N34" s="53" t="e">
        <f>H34+L34</f>
        <v>#REF!</v>
      </c>
      <c r="O34" s="9" t="e">
        <f>E34+#REF!+#REF!+#REF!+#REF!+M34</f>
        <v>#REF!</v>
      </c>
      <c r="P34" s="21" t="e">
        <f>O34-N34</f>
        <v>#REF!</v>
      </c>
      <c r="Q34" s="54" t="e">
        <f>O34/N34*100-100</f>
        <v>#REF!</v>
      </c>
      <c r="R34" s="242"/>
      <c r="S34"/>
      <c r="T34" s="96"/>
    </row>
    <row r="35" spans="1:20">
      <c r="A35" s="245"/>
      <c r="B35" s="171"/>
      <c r="C35" s="259"/>
      <c r="D35" s="283"/>
      <c r="E35" s="283"/>
      <c r="F35" s="252"/>
      <c r="G35" s="252"/>
      <c r="H35" s="283"/>
      <c r="I35" s="283"/>
      <c r="J35" s="21"/>
      <c r="K35" s="21"/>
      <c r="L35" s="53"/>
      <c r="M35" s="9"/>
      <c r="N35" s="53"/>
      <c r="O35" s="9"/>
      <c r="P35" s="21"/>
      <c r="Q35" s="54"/>
      <c r="R35" s="242"/>
    </row>
    <row r="36" spans="1:20">
      <c r="A36" s="157" t="s">
        <v>147</v>
      </c>
      <c r="B36" s="169" t="s">
        <v>9</v>
      </c>
      <c r="C36" s="257" t="s">
        <v>140</v>
      </c>
      <c r="D36" s="280">
        <f>SUM(D37:D42)</f>
        <v>344971.76</v>
      </c>
      <c r="E36" s="280">
        <f>SUM(E37:E42)</f>
        <v>189529.52190232402</v>
      </c>
      <c r="F36" s="280">
        <f>SUM(F37:F42)</f>
        <v>-155442.23809767599</v>
      </c>
      <c r="G36" s="280">
        <f>E36/D36*100-100</f>
        <v>-45.059409528964331</v>
      </c>
      <c r="H36" s="280" t="e">
        <f>SUM(H37:H42)</f>
        <v>#REF!</v>
      </c>
      <c r="I36" s="280" t="e">
        <f>SUM(I37:I42)</f>
        <v>#REF!</v>
      </c>
      <c r="J36" s="31" t="e">
        <f t="shared" ref="J36:J42" si="11">I36-H36</f>
        <v>#REF!</v>
      </c>
      <c r="K36" s="31" t="e">
        <f t="shared" ref="K36:K50" si="12">I36/H36*100-100</f>
        <v>#REF!</v>
      </c>
      <c r="L36" s="44" t="e">
        <f>#REF!</f>
        <v>#REF!</v>
      </c>
      <c r="M36" s="11">
        <f>SUM(M37:M42)</f>
        <v>0</v>
      </c>
      <c r="N36" s="44" t="e">
        <f>SUM(N37:N42)</f>
        <v>#REF!</v>
      </c>
      <c r="O36" s="11" t="e">
        <f>SUM(O37:O42)</f>
        <v>#REF!</v>
      </c>
      <c r="P36" s="31" t="e">
        <f t="shared" ref="P36:P42" si="13">O36-N36</f>
        <v>#REF!</v>
      </c>
      <c r="Q36" s="61" t="e">
        <f t="shared" ref="Q36:Q42" si="14">O36/N36*100-100</f>
        <v>#REF!</v>
      </c>
      <c r="R36" s="242"/>
    </row>
    <row r="37" spans="1:20" s="3" customFormat="1">
      <c r="A37" s="158" t="s">
        <v>115</v>
      </c>
      <c r="B37" s="172" t="s">
        <v>11</v>
      </c>
      <c r="C37" s="258" t="s">
        <v>140</v>
      </c>
      <c r="D37" s="283">
        <v>0</v>
      </c>
      <c r="E37" s="283">
        <f>53571.43/1000</f>
        <v>53.571429999999999</v>
      </c>
      <c r="F37" s="252">
        <f t="shared" si="5"/>
        <v>53.571429999999999</v>
      </c>
      <c r="G37" s="252"/>
      <c r="H37" s="283" t="e">
        <f>D37+#REF!+#REF!+#REF!+#REF!</f>
        <v>#REF!</v>
      </c>
      <c r="I37" s="286" t="e">
        <f>E37+#REF!+#REF!+#REF!+#REF!</f>
        <v>#REF!</v>
      </c>
      <c r="J37" s="41" t="e">
        <f t="shared" si="11"/>
        <v>#REF!</v>
      </c>
      <c r="K37" s="41" t="e">
        <f t="shared" si="12"/>
        <v>#REF!</v>
      </c>
      <c r="L37" s="67"/>
      <c r="M37" s="12"/>
      <c r="N37" s="53" t="e">
        <f t="shared" ref="N37:N42" si="15">H37+L37</f>
        <v>#REF!</v>
      </c>
      <c r="O37" s="9" t="e">
        <f>#REF!+#REF!+#REF!+#REF!+#REF!+M37</f>
        <v>#REF!</v>
      </c>
      <c r="P37" s="21" t="e">
        <f t="shared" si="13"/>
        <v>#REF!</v>
      </c>
      <c r="Q37" s="54" t="e">
        <f t="shared" si="14"/>
        <v>#REF!</v>
      </c>
      <c r="R37" s="242"/>
      <c r="S37"/>
    </row>
    <row r="38" spans="1:20" s="3" customFormat="1">
      <c r="A38" s="158" t="s">
        <v>116</v>
      </c>
      <c r="B38" s="172" t="s">
        <v>12</v>
      </c>
      <c r="C38" s="258" t="s">
        <v>140</v>
      </c>
      <c r="D38" s="283">
        <v>5291.9849999999997</v>
      </c>
      <c r="E38" s="283">
        <f>2370000/1000*E77</f>
        <v>1074.0840000000001</v>
      </c>
      <c r="F38" s="252">
        <f t="shared" si="5"/>
        <v>-4217.9009999999998</v>
      </c>
      <c r="G38" s="252">
        <f t="shared" si="6"/>
        <v>-79.703570588352008</v>
      </c>
      <c r="H38" s="283" t="e">
        <f>D38+#REF!+#REF!+#REF!+#REF!</f>
        <v>#REF!</v>
      </c>
      <c r="I38" s="286" t="e">
        <f>E38+#REF!+#REF!+#REF!+#REF!</f>
        <v>#REF!</v>
      </c>
      <c r="J38" s="41" t="e">
        <f t="shared" si="11"/>
        <v>#REF!</v>
      </c>
      <c r="K38" s="131" t="e">
        <f>I38/H38*100-100</f>
        <v>#REF!</v>
      </c>
      <c r="L38" s="67"/>
      <c r="M38" s="12"/>
      <c r="N38" s="53" t="e">
        <f t="shared" si="15"/>
        <v>#REF!</v>
      </c>
      <c r="O38" s="9" t="e">
        <f>E38+#REF!+#REF!+#REF!+#REF!+M38</f>
        <v>#REF!</v>
      </c>
      <c r="P38" s="21" t="e">
        <f t="shared" si="13"/>
        <v>#REF!</v>
      </c>
      <c r="Q38" s="54" t="e">
        <f t="shared" si="14"/>
        <v>#REF!</v>
      </c>
      <c r="R38" s="242">
        <v>2370</v>
      </c>
      <c r="S38" s="96" t="e">
        <f>I38-R38</f>
        <v>#REF!</v>
      </c>
    </row>
    <row r="39" spans="1:20" s="3" customFormat="1">
      <c r="A39" s="158" t="s">
        <v>72</v>
      </c>
      <c r="B39" s="172" t="s">
        <v>13</v>
      </c>
      <c r="C39" s="258" t="s">
        <v>140</v>
      </c>
      <c r="D39" s="283">
        <v>5187.8850000000002</v>
      </c>
      <c r="E39" s="283">
        <f>5341535.13/1000</f>
        <v>5341.5351300000002</v>
      </c>
      <c r="F39" s="252">
        <f t="shared" si="5"/>
        <v>153.65012999999999</v>
      </c>
      <c r="G39" s="252">
        <f t="shared" si="6"/>
        <v>2.9617104079986376</v>
      </c>
      <c r="H39" s="283" t="e">
        <f>D39+#REF!+#REF!+#REF!+#REF!</f>
        <v>#REF!</v>
      </c>
      <c r="I39" s="286" t="e">
        <f>E39+#REF!+#REF!+#REF!+#REF!</f>
        <v>#REF!</v>
      </c>
      <c r="J39" s="41" t="e">
        <f t="shared" si="11"/>
        <v>#REF!</v>
      </c>
      <c r="K39" s="131" t="e">
        <f t="shared" ref="K39" si="16">I39/H39*100-100</f>
        <v>#REF!</v>
      </c>
      <c r="L39" s="67"/>
      <c r="M39" s="12"/>
      <c r="N39" s="53" t="e">
        <f t="shared" si="15"/>
        <v>#REF!</v>
      </c>
      <c r="O39" s="9" t="e">
        <f>#REF!+#REF!+#REF!+#REF!+#REF!+M39</f>
        <v>#REF!</v>
      </c>
      <c r="P39" s="21" t="e">
        <f t="shared" si="13"/>
        <v>#REF!</v>
      </c>
      <c r="Q39" s="54" t="e">
        <f t="shared" si="14"/>
        <v>#REF!</v>
      </c>
      <c r="R39" s="242"/>
      <c r="S39" s="96"/>
    </row>
    <row r="40" spans="1:20" s="3" customFormat="1" ht="15" customHeight="1">
      <c r="A40" s="158" t="s">
        <v>73</v>
      </c>
      <c r="B40" s="172" t="s">
        <v>14</v>
      </c>
      <c r="C40" s="258" t="s">
        <v>140</v>
      </c>
      <c r="D40" s="283">
        <v>53450.51</v>
      </c>
      <c r="E40" s="283">
        <f>30541.45/1000*E77+30300/1000+14979.21/1000+39398.73/1000+2642189.16/1000</f>
        <v>2740.7084851400004</v>
      </c>
      <c r="F40" s="252">
        <f t="shared" si="5"/>
        <v>-50709.801514860002</v>
      </c>
      <c r="G40" s="252">
        <f t="shared" si="6"/>
        <v>-94.872437166380635</v>
      </c>
      <c r="H40" s="283" t="e">
        <f>D40+#REF!+#REF!+#REF!+#REF!</f>
        <v>#REF!</v>
      </c>
      <c r="I40" s="286" t="e">
        <f>E40+#REF!+#REF!+#REF!+#REF!</f>
        <v>#REF!</v>
      </c>
      <c r="J40" s="41" t="e">
        <f t="shared" si="11"/>
        <v>#REF!</v>
      </c>
      <c r="K40" s="131" t="e">
        <f>I40/H40*100-100</f>
        <v>#REF!</v>
      </c>
      <c r="L40" s="67"/>
      <c r="M40" s="12"/>
      <c r="N40" s="53" t="e">
        <f t="shared" si="15"/>
        <v>#REF!</v>
      </c>
      <c r="O40" s="9" t="e">
        <f>E40+#REF!+#REF!+#REF!+#REF!+M40</f>
        <v>#REF!</v>
      </c>
      <c r="P40" s="21" t="e">
        <f t="shared" si="13"/>
        <v>#REF!</v>
      </c>
      <c r="Q40" s="54" t="e">
        <f t="shared" si="14"/>
        <v>#REF!</v>
      </c>
      <c r="R40" s="242">
        <v>20.622259999999997</v>
      </c>
      <c r="S40" s="96" t="e">
        <f t="shared" ref="S40:S41" si="17">I40-R40</f>
        <v>#REF!</v>
      </c>
    </row>
    <row r="41" spans="1:20" s="3" customFormat="1">
      <c r="A41" s="158" t="s">
        <v>74</v>
      </c>
      <c r="B41" s="172" t="s">
        <v>15</v>
      </c>
      <c r="C41" s="258" t="s">
        <v>140</v>
      </c>
      <c r="D41" s="283">
        <v>760.24</v>
      </c>
      <c r="E41" s="283">
        <f>(333246.43/1000+454957.69/1000)*E77+34/1000</f>
        <v>357.24810718399999</v>
      </c>
      <c r="F41" s="252">
        <f t="shared" si="5"/>
        <v>-402.99189281600002</v>
      </c>
      <c r="G41" s="252">
        <f t="shared" si="6"/>
        <v>-53.008509525413025</v>
      </c>
      <c r="H41" s="283" t="e">
        <f>D41+#REF!+#REF!+#REF!+#REF!</f>
        <v>#REF!</v>
      </c>
      <c r="I41" s="286" t="e">
        <f>E41+#REF!+#REF!+#REF!+#REF!</f>
        <v>#REF!</v>
      </c>
      <c r="J41" s="41" t="e">
        <f t="shared" si="11"/>
        <v>#REF!</v>
      </c>
      <c r="K41" s="131" t="e">
        <f>I41/H41*100-100</f>
        <v>#REF!</v>
      </c>
      <c r="L41" s="67"/>
      <c r="M41" s="12"/>
      <c r="N41" s="53" t="e">
        <f t="shared" si="15"/>
        <v>#REF!</v>
      </c>
      <c r="O41" s="9" t="e">
        <f>E41+#REF!+#REF!+#REF!+#REF!+M41</f>
        <v>#REF!</v>
      </c>
      <c r="P41" s="21" t="e">
        <f t="shared" si="13"/>
        <v>#REF!</v>
      </c>
      <c r="Q41" s="54" t="e">
        <f t="shared" si="14"/>
        <v>#REF!</v>
      </c>
      <c r="R41" s="242">
        <v>788.20411999999999</v>
      </c>
      <c r="S41" s="96" t="e">
        <f t="shared" si="17"/>
        <v>#REF!</v>
      </c>
    </row>
    <row r="42" spans="1:20" s="3" customFormat="1" ht="47.25">
      <c r="A42" s="158" t="s">
        <v>117</v>
      </c>
      <c r="B42" s="172" t="s">
        <v>118</v>
      </c>
      <c r="C42" s="258" t="s">
        <v>140</v>
      </c>
      <c r="D42" s="283">
        <v>280281.14</v>
      </c>
      <c r="E42" s="283">
        <f>899811873.75/1000*0.2</f>
        <v>179962.37475000002</v>
      </c>
      <c r="F42" s="252">
        <f t="shared" si="5"/>
        <v>-100318.76525</v>
      </c>
      <c r="G42" s="252">
        <f t="shared" si="6"/>
        <v>-35.792192528544732</v>
      </c>
      <c r="H42" s="283" t="e">
        <f>D42+#REF!+#REF!+#REF!+#REF!</f>
        <v>#REF!</v>
      </c>
      <c r="I42" s="286" t="e">
        <f>E42+#REF!+#REF!+#REF!+#REF!</f>
        <v>#REF!</v>
      </c>
      <c r="J42" s="41" t="e">
        <f t="shared" si="11"/>
        <v>#REF!</v>
      </c>
      <c r="K42" s="41" t="e">
        <f t="shared" si="12"/>
        <v>#REF!</v>
      </c>
      <c r="L42" s="67"/>
      <c r="M42" s="12"/>
      <c r="N42" s="53" t="e">
        <f t="shared" si="15"/>
        <v>#REF!</v>
      </c>
      <c r="O42" s="9" t="e">
        <f>E42+#REF!+#REF!+#REF!+#REF!+M42</f>
        <v>#REF!</v>
      </c>
      <c r="P42" s="21" t="e">
        <f t="shared" si="13"/>
        <v>#REF!</v>
      </c>
      <c r="Q42" s="54" t="e">
        <f t="shared" si="14"/>
        <v>#REF!</v>
      </c>
      <c r="R42" s="242"/>
    </row>
    <row r="43" spans="1:20">
      <c r="A43" s="159" t="s">
        <v>16</v>
      </c>
      <c r="B43" s="173" t="s">
        <v>150</v>
      </c>
      <c r="C43" s="260" t="s">
        <v>140</v>
      </c>
      <c r="D43" s="277">
        <f>D44+D78</f>
        <v>99164.5</v>
      </c>
      <c r="E43" s="277">
        <f t="shared" ref="E43:Q43" si="18">E44+E78</f>
        <v>47923.028589143993</v>
      </c>
      <c r="F43" s="277">
        <f t="shared" si="18"/>
        <v>-51241.471410856</v>
      </c>
      <c r="G43" s="277">
        <f t="shared" si="6"/>
        <v>-51.67320100525491</v>
      </c>
      <c r="H43" s="277" t="e">
        <f t="shared" si="18"/>
        <v>#REF!</v>
      </c>
      <c r="I43" s="277" t="e">
        <f t="shared" si="18"/>
        <v>#REF!</v>
      </c>
      <c r="J43" s="277" t="e">
        <f t="shared" si="18"/>
        <v>#REF!</v>
      </c>
      <c r="K43" s="277" t="e">
        <f t="shared" si="18"/>
        <v>#REF!</v>
      </c>
      <c r="L43" s="277">
        <f t="shared" si="18"/>
        <v>0</v>
      </c>
      <c r="M43" s="277">
        <f t="shared" si="18"/>
        <v>0</v>
      </c>
      <c r="N43" s="277" t="e">
        <f t="shared" si="18"/>
        <v>#REF!</v>
      </c>
      <c r="O43" s="277" t="e">
        <f t="shared" si="18"/>
        <v>#REF!</v>
      </c>
      <c r="P43" s="277" t="e">
        <f t="shared" si="18"/>
        <v>#REF!</v>
      </c>
      <c r="Q43" s="277" t="e">
        <f t="shared" si="18"/>
        <v>#REF!</v>
      </c>
      <c r="R43" s="242"/>
    </row>
    <row r="44" spans="1:20" ht="31.5">
      <c r="A44" s="157" t="s">
        <v>151</v>
      </c>
      <c r="B44" s="169" t="s">
        <v>17</v>
      </c>
      <c r="C44" s="257" t="s">
        <v>140</v>
      </c>
      <c r="D44" s="280">
        <f>SUM(D45:D49)</f>
        <v>99164.5</v>
      </c>
      <c r="E44" s="280">
        <f t="shared" ref="E44:I44" si="19">SUM(E45:E49)</f>
        <v>47923.028589143993</v>
      </c>
      <c r="F44" s="280">
        <f t="shared" si="19"/>
        <v>-51241.471410856</v>
      </c>
      <c r="G44" s="280">
        <f t="shared" si="6"/>
        <v>-51.67320100525491</v>
      </c>
      <c r="H44" s="280" t="e">
        <f t="shared" si="19"/>
        <v>#REF!</v>
      </c>
      <c r="I44" s="280" t="e">
        <f t="shared" si="19"/>
        <v>#REF!</v>
      </c>
      <c r="J44" s="31" t="e">
        <f>I44-H44</f>
        <v>#REF!</v>
      </c>
      <c r="K44" s="131" t="e">
        <f t="shared" si="12"/>
        <v>#REF!</v>
      </c>
      <c r="L44" s="44"/>
      <c r="M44" s="11"/>
      <c r="N44" s="44" t="e">
        <f>SUM(N45:N49)</f>
        <v>#REF!</v>
      </c>
      <c r="O44" s="11" t="e">
        <f>SUM(O45:O49)</f>
        <v>#REF!</v>
      </c>
      <c r="P44" s="31" t="e">
        <f>O44-N44</f>
        <v>#REF!</v>
      </c>
      <c r="Q44" s="61" t="e">
        <f>O44/N44*100-100</f>
        <v>#REF!</v>
      </c>
      <c r="R44" s="242"/>
    </row>
    <row r="45" spans="1:20" s="3" customFormat="1" ht="31.5">
      <c r="A45" s="158" t="s">
        <v>76</v>
      </c>
      <c r="B45" s="170" t="s">
        <v>18</v>
      </c>
      <c r="C45" s="258" t="s">
        <v>140</v>
      </c>
      <c r="D45" s="283">
        <v>26719.24</v>
      </c>
      <c r="E45" s="283">
        <f>(3344750/1000+40013954/1000+23941584/1000+53150/1000+300000/1000)*E77</f>
        <v>30660.538101599996</v>
      </c>
      <c r="F45" s="252">
        <f t="shared" si="5"/>
        <v>3941.298101599994</v>
      </c>
      <c r="G45" s="252">
        <f t="shared" si="6"/>
        <v>14.750786705011038</v>
      </c>
      <c r="H45" s="283" t="e">
        <f>D45+#REF!+#REF!+#REF!+#REF!</f>
        <v>#REF!</v>
      </c>
      <c r="I45" s="283" t="e">
        <f>E45+#REF!+#REF!+#REF!+#REF!</f>
        <v>#REF!</v>
      </c>
      <c r="J45" s="41" t="e">
        <f>I45-H45</f>
        <v>#REF!</v>
      </c>
      <c r="K45" s="41" t="e">
        <f t="shared" si="12"/>
        <v>#REF!</v>
      </c>
      <c r="L45" s="53"/>
      <c r="M45" s="9"/>
      <c r="N45" s="53" t="e">
        <f>H45+L45</f>
        <v>#REF!</v>
      </c>
      <c r="O45" s="9" t="e">
        <f>E45+#REF!+#REF!+#REF!+#REF!+M45</f>
        <v>#REF!</v>
      </c>
      <c r="P45" s="21" t="e">
        <f>O45-N45</f>
        <v>#REF!</v>
      </c>
      <c r="Q45" s="54" t="e">
        <f>O45/N45*100-100</f>
        <v>#REF!</v>
      </c>
      <c r="R45" s="242">
        <v>63567.159</v>
      </c>
      <c r="S45" s="96" t="e">
        <f t="shared" ref="S45:S74" si="20">I45-R45</f>
        <v>#REF!</v>
      </c>
    </row>
    <row r="46" spans="1:20" s="3" customFormat="1">
      <c r="A46" s="158" t="s">
        <v>77</v>
      </c>
      <c r="B46" s="170" t="s">
        <v>171</v>
      </c>
      <c r="C46" s="258" t="s">
        <v>140</v>
      </c>
      <c r="D46" s="283">
        <v>2284.5</v>
      </c>
      <c r="E46" s="283">
        <f>(1752108.17/1000+3605704.18/1000)*E77</f>
        <v>2428.1605570199999</v>
      </c>
      <c r="F46" s="252">
        <f t="shared" si="5"/>
        <v>143.66055701999994</v>
      </c>
      <c r="G46" s="252">
        <f t="shared" si="6"/>
        <v>6.288490130006565</v>
      </c>
      <c r="H46" s="283" t="e">
        <f>D46+#REF!+#REF!+#REF!+#REF!</f>
        <v>#REF!</v>
      </c>
      <c r="I46" s="283" t="e">
        <f>E46+#REF!+#REF!+#REF!+#REF!</f>
        <v>#REF!</v>
      </c>
      <c r="J46" s="41" t="e">
        <f>I46-H46</f>
        <v>#REF!</v>
      </c>
      <c r="K46" s="41" t="e">
        <f t="shared" si="12"/>
        <v>#REF!</v>
      </c>
      <c r="L46" s="53"/>
      <c r="M46" s="9"/>
      <c r="N46" s="53" t="e">
        <f>H46+L46</f>
        <v>#REF!</v>
      </c>
      <c r="O46" s="9" t="e">
        <f>E46+#REF!+#REF!+#REF!+#REF!+M46</f>
        <v>#REF!</v>
      </c>
      <c r="P46" s="21" t="e">
        <f>O46-N46</f>
        <v>#REF!</v>
      </c>
      <c r="Q46" s="54" t="e">
        <f>O46/N46*100-100</f>
        <v>#REF!</v>
      </c>
      <c r="R46" s="242">
        <v>5014.9203500000003</v>
      </c>
      <c r="S46" s="96" t="e">
        <f t="shared" si="20"/>
        <v>#REF!</v>
      </c>
    </row>
    <row r="47" spans="1:20" s="3" customFormat="1">
      <c r="A47" s="158"/>
      <c r="B47" s="170" t="s">
        <v>169</v>
      </c>
      <c r="C47" s="258"/>
      <c r="D47" s="283"/>
      <c r="E47" s="283">
        <f>1783664.87/1000*E77</f>
        <v>808.35691908399997</v>
      </c>
      <c r="F47" s="252">
        <f t="shared" si="5"/>
        <v>808.35691908399997</v>
      </c>
      <c r="G47" s="252"/>
      <c r="H47" s="283" t="e">
        <f>D47+#REF!+#REF!+#REF!+#REF!</f>
        <v>#REF!</v>
      </c>
      <c r="I47" s="283" t="e">
        <f>E47+#REF!+#REF!+#REF!+#REF!</f>
        <v>#REF!</v>
      </c>
      <c r="J47" s="97"/>
      <c r="K47" s="41" t="e">
        <f t="shared" si="12"/>
        <v>#REF!</v>
      </c>
      <c r="L47" s="91"/>
      <c r="M47" s="86"/>
      <c r="N47" s="91"/>
      <c r="O47" s="9" t="e">
        <f>E47+#REF!+#REF!+#REF!+#REF!+M47</f>
        <v>#REF!</v>
      </c>
      <c r="P47" s="92"/>
      <c r="Q47" s="93"/>
      <c r="R47" s="242">
        <v>1681.2608700000001</v>
      </c>
      <c r="S47" s="96" t="e">
        <f t="shared" si="20"/>
        <v>#REF!</v>
      </c>
    </row>
    <row r="48" spans="1:20" s="3" customFormat="1">
      <c r="A48" s="158" t="s">
        <v>78</v>
      </c>
      <c r="B48" s="170" t="s">
        <v>19</v>
      </c>
      <c r="C48" s="258" t="s">
        <v>140</v>
      </c>
      <c r="D48" s="283">
        <v>41838.86</v>
      </c>
      <c r="E48" s="283">
        <f>(91890/1000+1496164/1000+261554/1000-17480758.28/1000+25504390/1000)*E77+39652.17/1000</f>
        <v>4514.2044111039995</v>
      </c>
      <c r="F48" s="252">
        <f t="shared" si="5"/>
        <v>-37324.655588895999</v>
      </c>
      <c r="G48" s="252">
        <f t="shared" si="6"/>
        <v>-89.210498538669555</v>
      </c>
      <c r="H48" s="283" t="e">
        <f>D48+#REF!+#REF!+#REF!+#REF!</f>
        <v>#REF!</v>
      </c>
      <c r="I48" s="283" t="e">
        <f>E48+#REF!+#REF!+#REF!+#REF!</f>
        <v>#REF!</v>
      </c>
      <c r="J48" s="97" t="e">
        <f>I48-H48</f>
        <v>#REF!</v>
      </c>
      <c r="K48" s="41" t="e">
        <f t="shared" si="12"/>
        <v>#REF!</v>
      </c>
      <c r="L48" s="91"/>
      <c r="M48" s="86"/>
      <c r="N48" s="91" t="e">
        <f>H48+L48</f>
        <v>#REF!</v>
      </c>
      <c r="O48" s="9" t="e">
        <f>E48+#REF!+#REF!+#REF!+#REF!+M48</f>
        <v>#REF!</v>
      </c>
      <c r="P48" s="92" t="e">
        <f>O48-N48</f>
        <v>#REF!</v>
      </c>
      <c r="Q48" s="93" t="e">
        <f>O48/N48*100-100</f>
        <v>#REF!</v>
      </c>
      <c r="R48" s="242">
        <v>9873.2397199999996</v>
      </c>
      <c r="S48" s="96" t="e">
        <f t="shared" si="20"/>
        <v>#REF!</v>
      </c>
    </row>
    <row r="49" spans="1:20">
      <c r="A49" s="160" t="s">
        <v>79</v>
      </c>
      <c r="B49" s="169" t="s">
        <v>152</v>
      </c>
      <c r="C49" s="258" t="s">
        <v>140</v>
      </c>
      <c r="D49" s="280">
        <f>SUM(D50:D76)</f>
        <v>28321.899999999998</v>
      </c>
      <c r="E49" s="280">
        <f t="shared" ref="E49:I49" si="21">SUM(E50:E76)</f>
        <v>9511.7686003359995</v>
      </c>
      <c r="F49" s="280">
        <f t="shared" si="21"/>
        <v>-18810.131399663998</v>
      </c>
      <c r="G49" s="280">
        <f>E49/D49*100-100</f>
        <v>-66.415499665149582</v>
      </c>
      <c r="H49" s="280">
        <f t="shared" si="21"/>
        <v>42564.135391949283</v>
      </c>
      <c r="I49" s="280" t="e">
        <f t="shared" si="21"/>
        <v>#REF!</v>
      </c>
      <c r="J49" s="31" t="e">
        <f>I49-H49</f>
        <v>#REF!</v>
      </c>
      <c r="K49" s="31" t="e">
        <f t="shared" si="12"/>
        <v>#REF!</v>
      </c>
      <c r="L49" s="44"/>
      <c r="M49" s="11"/>
      <c r="N49" s="44">
        <f>SUM(N50:N76)</f>
        <v>42564.135391949283</v>
      </c>
      <c r="O49" s="11" t="e">
        <f>SUM(O50:O76)</f>
        <v>#REF!</v>
      </c>
      <c r="P49" s="31" t="e">
        <f>O49-N49</f>
        <v>#REF!</v>
      </c>
      <c r="Q49" s="61" t="e">
        <f>O49/N49*100-100</f>
        <v>#REF!</v>
      </c>
      <c r="R49" s="242"/>
      <c r="S49" s="96"/>
    </row>
    <row r="50" spans="1:20" s="3" customFormat="1">
      <c r="A50" s="158" t="s">
        <v>80</v>
      </c>
      <c r="B50" s="172" t="s">
        <v>20</v>
      </c>
      <c r="C50" s="261" t="s">
        <v>140</v>
      </c>
      <c r="D50" s="283">
        <v>522.5</v>
      </c>
      <c r="E50" s="283">
        <f>(755322.75/1000+499887.49/1000+304684.28/1000)*E77</f>
        <v>706.94419646400002</v>
      </c>
      <c r="F50" s="252">
        <f>E50-D50</f>
        <v>184.44419646400002</v>
      </c>
      <c r="G50" s="252">
        <f>E50/D50*100-100</f>
        <v>35.30032468210527</v>
      </c>
      <c r="H50" s="283">
        <v>2700.8048642946674</v>
      </c>
      <c r="I50" s="283" t="e">
        <f>E50+#REF!+#REF!+#REF!+#REF!</f>
        <v>#REF!</v>
      </c>
      <c r="J50" s="41" t="e">
        <f>I50-H50</f>
        <v>#REF!</v>
      </c>
      <c r="K50" s="41" t="e">
        <f t="shared" si="12"/>
        <v>#REF!</v>
      </c>
      <c r="L50" s="53"/>
      <c r="M50" s="9"/>
      <c r="N50" s="53">
        <f>H50+L50</f>
        <v>2700.8048642946674</v>
      </c>
      <c r="O50" s="9" t="e">
        <f>E50+#REF!+#REF!+#REF!+#REF!+M50</f>
        <v>#REF!</v>
      </c>
      <c r="P50" s="21" t="e">
        <f>O50-N50</f>
        <v>#REF!</v>
      </c>
      <c r="Q50" s="54" t="e">
        <f>O50/N50*100-100</f>
        <v>#REF!</v>
      </c>
      <c r="R50" s="242">
        <v>1339.9641200000001</v>
      </c>
      <c r="S50" s="96" t="e">
        <f t="shared" si="20"/>
        <v>#REF!</v>
      </c>
    </row>
    <row r="51" spans="1:20" s="3" customFormat="1">
      <c r="A51" s="158" t="s">
        <v>81</v>
      </c>
      <c r="B51" s="172" t="s">
        <v>21</v>
      </c>
      <c r="C51" s="261" t="s">
        <v>140</v>
      </c>
      <c r="D51" s="283"/>
      <c r="E51" s="283"/>
      <c r="F51" s="252"/>
      <c r="G51" s="252"/>
      <c r="H51" s="283"/>
      <c r="I51" s="283"/>
      <c r="J51" s="21"/>
      <c r="K51" s="21"/>
      <c r="L51" s="53"/>
      <c r="M51" s="9"/>
      <c r="N51" s="53"/>
      <c r="O51" s="9" t="e">
        <f>E51+#REF!+#REF!+#REF!+#REF!+M51</f>
        <v>#REF!</v>
      </c>
      <c r="P51" s="21"/>
      <c r="Q51" s="54"/>
      <c r="R51" s="242">
        <v>2809.5409599999998</v>
      </c>
      <c r="S51" s="96">
        <f t="shared" si="20"/>
        <v>-2809.5409599999998</v>
      </c>
    </row>
    <row r="52" spans="1:20" s="3" customFormat="1">
      <c r="A52" s="158" t="s">
        <v>82</v>
      </c>
      <c r="B52" s="172" t="s">
        <v>22</v>
      </c>
      <c r="C52" s="261" t="s">
        <v>140</v>
      </c>
      <c r="D52" s="283">
        <v>168.26</v>
      </c>
      <c r="E52" s="283"/>
      <c r="F52" s="252">
        <f t="shared" ref="F52:F74" si="22">E52-D52</f>
        <v>-168.26</v>
      </c>
      <c r="G52" s="252">
        <f t="shared" ref="G52:G74" si="23">E52/D52*100-100</f>
        <v>-100</v>
      </c>
      <c r="H52" s="283">
        <v>30.573602399999999</v>
      </c>
      <c r="I52" s="283" t="e">
        <f>E52+#REF!+#REF!+#REF!+#REF!</f>
        <v>#REF!</v>
      </c>
      <c r="J52" s="26">
        <v>51.106397600000022</v>
      </c>
      <c r="K52" s="131" t="e">
        <f t="shared" ref="K52:K76" si="24">I52/H52*100-100</f>
        <v>#REF!</v>
      </c>
      <c r="L52" s="53"/>
      <c r="M52" s="9"/>
      <c r="N52" s="53">
        <f t="shared" ref="N52:N76" si="25">H52+L52</f>
        <v>30.573602399999999</v>
      </c>
      <c r="O52" s="9" t="e">
        <f>E52+#REF!+#REF!+#REF!+#REF!+M52</f>
        <v>#REF!</v>
      </c>
      <c r="P52" s="21"/>
      <c r="Q52" s="54"/>
      <c r="R52" s="242"/>
      <c r="S52" s="96"/>
    </row>
    <row r="53" spans="1:20" s="3" customFormat="1">
      <c r="A53" s="158" t="s">
        <v>153</v>
      </c>
      <c r="B53" s="172" t="s">
        <v>23</v>
      </c>
      <c r="C53" s="261" t="s">
        <v>140</v>
      </c>
      <c r="D53" s="283">
        <v>18.57</v>
      </c>
      <c r="E53" s="283"/>
      <c r="F53" s="252">
        <f t="shared" si="22"/>
        <v>-18.57</v>
      </c>
      <c r="G53" s="252">
        <f t="shared" si="23"/>
        <v>-100</v>
      </c>
      <c r="H53" s="283">
        <v>33.778467930476666</v>
      </c>
      <c r="I53" s="283" t="e">
        <f>E53+#REF!+#REF!+#REF!+#REF!</f>
        <v>#REF!</v>
      </c>
      <c r="J53" s="26">
        <v>3393.1415320695232</v>
      </c>
      <c r="K53" s="131" t="e">
        <f t="shared" si="24"/>
        <v>#REF!</v>
      </c>
      <c r="L53" s="53"/>
      <c r="M53" s="9"/>
      <c r="N53" s="53">
        <f t="shared" si="25"/>
        <v>33.778467930476666</v>
      </c>
      <c r="O53" s="9" t="e">
        <f>E53+#REF!+#REF!+#REF!+#REF!+M53</f>
        <v>#REF!</v>
      </c>
      <c r="P53" s="21" t="e">
        <f t="shared" ref="P53:P59" si="26">O53-N53</f>
        <v>#REF!</v>
      </c>
      <c r="Q53" s="54" t="e">
        <f t="shared" ref="Q53:Q59" si="27">O53/N53*100-100</f>
        <v>#REF!</v>
      </c>
      <c r="R53" s="242"/>
      <c r="S53" s="96"/>
    </row>
    <row r="54" spans="1:20" s="3" customFormat="1">
      <c r="A54" s="158" t="s">
        <v>83</v>
      </c>
      <c r="B54" s="172" t="s">
        <v>24</v>
      </c>
      <c r="C54" s="261" t="s">
        <v>140</v>
      </c>
      <c r="D54" s="283">
        <v>1065.77</v>
      </c>
      <c r="E54" s="283">
        <f>(10714.28/1000+90142.86/1000+1852651.34/1000)*E77</f>
        <v>885.33004313600009</v>
      </c>
      <c r="F54" s="252">
        <f t="shared" si="22"/>
        <v>-180.4399568639999</v>
      </c>
      <c r="G54" s="252">
        <f t="shared" si="23"/>
        <v>-16.930478139185752</v>
      </c>
      <c r="H54" s="283">
        <v>2308.1666133103577</v>
      </c>
      <c r="I54" s="283" t="e">
        <f>E54+#REF!+#REF!+#REF!+#REF!</f>
        <v>#REF!</v>
      </c>
      <c r="J54" s="26">
        <v>-1403.8566133103577</v>
      </c>
      <c r="K54" s="131" t="e">
        <f t="shared" si="24"/>
        <v>#REF!</v>
      </c>
      <c r="L54" s="53"/>
      <c r="M54" s="9"/>
      <c r="N54" s="53">
        <f t="shared" si="25"/>
        <v>2308.1666133103577</v>
      </c>
      <c r="O54" s="9" t="e">
        <f>E54+#REF!+#REF!+#REF!+#REF!+M54</f>
        <v>#REF!</v>
      </c>
      <c r="P54" s="21" t="e">
        <f t="shared" si="26"/>
        <v>#REF!</v>
      </c>
      <c r="Q54" s="54" t="e">
        <f t="shared" si="27"/>
        <v>#REF!</v>
      </c>
      <c r="R54" s="242">
        <v>1770.1242299999999</v>
      </c>
      <c r="S54" s="96" t="e">
        <f t="shared" si="20"/>
        <v>#REF!</v>
      </c>
    </row>
    <row r="55" spans="1:20" s="3" customFormat="1">
      <c r="A55" s="158" t="s">
        <v>84</v>
      </c>
      <c r="B55" s="172" t="s">
        <v>25</v>
      </c>
      <c r="C55" s="261" t="s">
        <v>140</v>
      </c>
      <c r="D55" s="283"/>
      <c r="E55" s="283">
        <f>246740/1000*E77</f>
        <v>111.822568</v>
      </c>
      <c r="F55" s="252">
        <f t="shared" si="22"/>
        <v>111.822568</v>
      </c>
      <c r="G55" s="252"/>
      <c r="H55" s="283">
        <v>82.598847300000003</v>
      </c>
      <c r="I55" s="283" t="e">
        <f>E55+#REF!+#REF!+#REF!+#REF!</f>
        <v>#REF!</v>
      </c>
      <c r="J55" s="21">
        <v>148.14115270000002</v>
      </c>
      <c r="K55" s="131" t="e">
        <f t="shared" si="24"/>
        <v>#REF!</v>
      </c>
      <c r="L55" s="53"/>
      <c r="M55" s="9"/>
      <c r="N55" s="53">
        <f t="shared" si="25"/>
        <v>82.598847300000003</v>
      </c>
      <c r="O55" s="9" t="e">
        <f>E55+#REF!+#REF!+#REF!+#REF!+M55</f>
        <v>#REF!</v>
      </c>
      <c r="P55" s="21" t="e">
        <f t="shared" si="26"/>
        <v>#REF!</v>
      </c>
      <c r="Q55" s="54" t="e">
        <f t="shared" si="27"/>
        <v>#REF!</v>
      </c>
      <c r="R55" s="242">
        <v>246.74</v>
      </c>
      <c r="S55" s="96" t="e">
        <f t="shared" si="20"/>
        <v>#REF!</v>
      </c>
    </row>
    <row r="56" spans="1:20" s="3" customFormat="1">
      <c r="A56" s="158" t="s">
        <v>154</v>
      </c>
      <c r="B56" s="172" t="s">
        <v>26</v>
      </c>
      <c r="C56" s="261" t="s">
        <v>140</v>
      </c>
      <c r="D56" s="283">
        <v>11080.9</v>
      </c>
      <c r="E56" s="283">
        <f>(4450500/1000+885547.97/1000)*E77</f>
        <v>2418.2969400039997</v>
      </c>
      <c r="F56" s="252">
        <f t="shared" si="22"/>
        <v>-8662.6030599959995</v>
      </c>
      <c r="G56" s="252">
        <f t="shared" si="23"/>
        <v>-78.175988051475969</v>
      </c>
      <c r="H56" s="283">
        <v>10181.643933488001</v>
      </c>
      <c r="I56" s="283" t="e">
        <f>E56+#REF!+#REF!+#REF!+#REF!</f>
        <v>#REF!</v>
      </c>
      <c r="J56" s="21">
        <v>417.57457651199911</v>
      </c>
      <c r="K56" s="131" t="e">
        <f t="shared" si="24"/>
        <v>#REF!</v>
      </c>
      <c r="L56" s="53"/>
      <c r="M56" s="9"/>
      <c r="N56" s="53">
        <f t="shared" si="25"/>
        <v>10181.643933488001</v>
      </c>
      <c r="O56" s="9" t="e">
        <f>E56+#REF!+#REF!+#REF!+#REF!+M56</f>
        <v>#REF!</v>
      </c>
      <c r="P56" s="21" t="e">
        <f t="shared" si="26"/>
        <v>#REF!</v>
      </c>
      <c r="Q56" s="54" t="e">
        <f t="shared" si="27"/>
        <v>#REF!</v>
      </c>
      <c r="R56" s="242">
        <v>3561.9602100000002</v>
      </c>
      <c r="S56" s="96" t="e">
        <f t="shared" si="20"/>
        <v>#REF!</v>
      </c>
      <c r="T56" s="132"/>
    </row>
    <row r="57" spans="1:20" s="77" customFormat="1">
      <c r="A57" s="158" t="s">
        <v>85</v>
      </c>
      <c r="B57" s="172" t="s">
        <v>27</v>
      </c>
      <c r="C57" s="261" t="s">
        <v>140</v>
      </c>
      <c r="D57" s="283">
        <v>2821.18</v>
      </c>
      <c r="E57" s="283">
        <f>(20089.28/1000+215000/1000+52250/1000)*E77</f>
        <v>130.222161696</v>
      </c>
      <c r="F57" s="252">
        <f t="shared" si="22"/>
        <v>-2690.9578383039998</v>
      </c>
      <c r="G57" s="252">
        <f t="shared" si="23"/>
        <v>-95.384124313372425</v>
      </c>
      <c r="H57" s="283">
        <v>1230.9849999999997</v>
      </c>
      <c r="I57" s="283" t="e">
        <f>E57+#REF!+#REF!+#REF!+#REF!</f>
        <v>#REF!</v>
      </c>
      <c r="J57" s="21">
        <v>-1150.6249999999998</v>
      </c>
      <c r="K57" s="131" t="e">
        <f t="shared" si="24"/>
        <v>#REF!</v>
      </c>
      <c r="L57" s="53"/>
      <c r="M57" s="9"/>
      <c r="N57" s="53">
        <f t="shared" si="25"/>
        <v>1230.9849999999997</v>
      </c>
      <c r="O57" s="9" t="e">
        <f>E57+#REF!+#REF!+#REF!+#REF!+M57</f>
        <v>#REF!</v>
      </c>
      <c r="P57" s="21" t="e">
        <f t="shared" si="26"/>
        <v>#REF!</v>
      </c>
      <c r="Q57" s="55" t="e">
        <f t="shared" si="27"/>
        <v>#REF!</v>
      </c>
      <c r="R57" s="242">
        <v>510.08927999999997</v>
      </c>
      <c r="S57" s="96" t="e">
        <f t="shared" si="20"/>
        <v>#REF!</v>
      </c>
    </row>
    <row r="58" spans="1:20" s="98" customFormat="1">
      <c r="A58" s="158" t="s">
        <v>86</v>
      </c>
      <c r="B58" s="172" t="s">
        <v>28</v>
      </c>
      <c r="C58" s="262" t="s">
        <v>140</v>
      </c>
      <c r="D58" s="283">
        <v>679.8</v>
      </c>
      <c r="E58" s="283">
        <f>1326559.61/1000*E77</f>
        <v>601.19681525199996</v>
      </c>
      <c r="F58" s="252">
        <f t="shared" si="22"/>
        <v>-78.60318474799999</v>
      </c>
      <c r="G58" s="252">
        <f t="shared" si="23"/>
        <v>-11.562692666666663</v>
      </c>
      <c r="H58" s="283">
        <v>430.34440281600007</v>
      </c>
      <c r="I58" s="283" t="e">
        <f>E58+#REF!+#REF!+#REF!+#REF!</f>
        <v>#REF!</v>
      </c>
      <c r="J58" s="21">
        <v>3.6555971839999302</v>
      </c>
      <c r="K58" s="131" t="e">
        <f t="shared" si="24"/>
        <v>#REF!</v>
      </c>
      <c r="L58" s="69"/>
      <c r="M58" s="26"/>
      <c r="N58" s="53">
        <f t="shared" si="25"/>
        <v>430.34440281600007</v>
      </c>
      <c r="O58" s="9" t="e">
        <f>E58+#REF!+#REF!+#REF!+#REF!+M58</f>
        <v>#REF!</v>
      </c>
      <c r="P58" s="21" t="e">
        <f t="shared" si="26"/>
        <v>#REF!</v>
      </c>
      <c r="Q58" s="55" t="e">
        <f t="shared" si="27"/>
        <v>#REF!</v>
      </c>
      <c r="R58" s="242">
        <v>1043.48622</v>
      </c>
      <c r="S58" s="96" t="e">
        <f t="shared" si="20"/>
        <v>#REF!</v>
      </c>
    </row>
    <row r="59" spans="1:20" s="98" customFormat="1">
      <c r="A59" s="158" t="s">
        <v>87</v>
      </c>
      <c r="B59" s="172" t="s">
        <v>29</v>
      </c>
      <c r="C59" s="262" t="s">
        <v>140</v>
      </c>
      <c r="D59" s="283">
        <v>95.77</v>
      </c>
      <c r="E59" s="283"/>
      <c r="F59" s="252">
        <f t="shared" si="22"/>
        <v>-95.77</v>
      </c>
      <c r="G59" s="252">
        <f t="shared" si="23"/>
        <v>-100</v>
      </c>
      <c r="H59" s="283">
        <v>209.55873033245001</v>
      </c>
      <c r="I59" s="283" t="e">
        <f>E59+#REF!+#REF!+#REF!+#REF!</f>
        <v>#REF!</v>
      </c>
      <c r="J59" s="21">
        <v>39.041269667549983</v>
      </c>
      <c r="K59" s="131" t="e">
        <f t="shared" si="24"/>
        <v>#REF!</v>
      </c>
      <c r="L59" s="69"/>
      <c r="M59" s="26"/>
      <c r="N59" s="53">
        <f t="shared" si="25"/>
        <v>209.55873033245001</v>
      </c>
      <c r="O59" s="9" t="e">
        <f>E59+#REF!+#REF!+#REF!+#REF!+M59</f>
        <v>#REF!</v>
      </c>
      <c r="P59" s="21" t="e">
        <f t="shared" si="26"/>
        <v>#REF!</v>
      </c>
      <c r="Q59" s="55" t="e">
        <f t="shared" si="27"/>
        <v>#REF!</v>
      </c>
      <c r="R59" s="242"/>
      <c r="S59" s="96"/>
    </row>
    <row r="60" spans="1:20" s="77" customFormat="1">
      <c r="A60" s="158" t="s">
        <v>88</v>
      </c>
      <c r="B60" s="172" t="s">
        <v>30</v>
      </c>
      <c r="C60" s="261" t="s">
        <v>140</v>
      </c>
      <c r="D60" s="283">
        <v>0</v>
      </c>
      <c r="E60" s="283">
        <f>(3828.75/1000+4288.2/1000+765.75/1000)*E77</f>
        <v>4.0256396399999996</v>
      </c>
      <c r="F60" s="252">
        <f t="shared" si="22"/>
        <v>4.0256396399999996</v>
      </c>
      <c r="G60" s="252"/>
      <c r="H60" s="283">
        <v>0</v>
      </c>
      <c r="I60" s="283" t="e">
        <f>E60+#REF!+#REF!+#REF!+#REF!</f>
        <v>#REF!</v>
      </c>
      <c r="J60" s="9"/>
      <c r="K60" s="237"/>
      <c r="L60" s="53"/>
      <c r="M60" s="9"/>
      <c r="N60" s="53">
        <f t="shared" si="25"/>
        <v>0</v>
      </c>
      <c r="O60" s="9" t="e">
        <f>E60+#REF!+#REF!+#REF!+#REF!+M60</f>
        <v>#REF!</v>
      </c>
      <c r="P60" s="9"/>
      <c r="Q60" s="238"/>
      <c r="R60" s="242">
        <v>8.8826999999999998</v>
      </c>
      <c r="S60" s="96" t="e">
        <f t="shared" si="20"/>
        <v>#REF!</v>
      </c>
    </row>
    <row r="61" spans="1:20" s="98" customFormat="1">
      <c r="A61" s="158" t="s">
        <v>89</v>
      </c>
      <c r="B61" s="172" t="s">
        <v>31</v>
      </c>
      <c r="C61" s="262" t="s">
        <v>140</v>
      </c>
      <c r="D61" s="283">
        <v>0</v>
      </c>
      <c r="E61" s="283">
        <f>92334.96/1000*E77</f>
        <v>41.846203872000004</v>
      </c>
      <c r="F61" s="252">
        <f t="shared" si="22"/>
        <v>41.846203872000004</v>
      </c>
      <c r="G61" s="252"/>
      <c r="H61" s="283">
        <v>284.5339962999999</v>
      </c>
      <c r="I61" s="283" t="e">
        <f>E61+#REF!+#REF!+#REF!+#REF!</f>
        <v>#REF!</v>
      </c>
      <c r="J61" s="21">
        <v>700.01600370000006</v>
      </c>
      <c r="K61" s="131" t="e">
        <f t="shared" si="24"/>
        <v>#REF!</v>
      </c>
      <c r="L61" s="69"/>
      <c r="M61" s="26"/>
      <c r="N61" s="53">
        <f t="shared" si="25"/>
        <v>284.5339962999999</v>
      </c>
      <c r="O61" s="9" t="e">
        <f>E61+#REF!+#REF!+#REF!+#REF!+M61</f>
        <v>#REF!</v>
      </c>
      <c r="P61" s="21" t="e">
        <f t="shared" ref="P61:P76" si="28">O61-N61</f>
        <v>#REF!</v>
      </c>
      <c r="Q61" s="55">
        <v>100</v>
      </c>
      <c r="R61" s="242">
        <v>69.788070000000005</v>
      </c>
      <c r="S61" s="96" t="e">
        <f t="shared" si="20"/>
        <v>#REF!</v>
      </c>
    </row>
    <row r="62" spans="1:20" s="3" customFormat="1">
      <c r="A62" s="158" t="s">
        <v>90</v>
      </c>
      <c r="B62" s="172" t="s">
        <v>32</v>
      </c>
      <c r="C62" s="261" t="s">
        <v>140</v>
      </c>
      <c r="D62" s="283">
        <v>3199.87</v>
      </c>
      <c r="E62" s="283"/>
      <c r="F62" s="252">
        <f t="shared" si="22"/>
        <v>-3199.87</v>
      </c>
      <c r="G62" s="252">
        <f t="shared" si="23"/>
        <v>-100</v>
      </c>
      <c r="H62" s="283">
        <v>6206.7573899999998</v>
      </c>
      <c r="I62" s="283" t="e">
        <f>E62+#REF!+#REF!+#REF!+#REF!</f>
        <v>#REF!</v>
      </c>
      <c r="J62" s="21">
        <v>-5063.2573899999998</v>
      </c>
      <c r="K62" s="131" t="e">
        <f t="shared" si="24"/>
        <v>#REF!</v>
      </c>
      <c r="L62" s="53"/>
      <c r="M62" s="9"/>
      <c r="N62" s="53">
        <f t="shared" si="25"/>
        <v>6206.7573899999998</v>
      </c>
      <c r="O62" s="9" t="e">
        <f>E62+#REF!+#REF!+#REF!+#REF!+M62</f>
        <v>#REF!</v>
      </c>
      <c r="P62" s="21" t="e">
        <f t="shared" si="28"/>
        <v>#REF!</v>
      </c>
      <c r="Q62" s="54" t="e">
        <f t="shared" ref="Q62:Q76" si="29">O62/N62*100-100</f>
        <v>#REF!</v>
      </c>
      <c r="R62" s="242"/>
      <c r="S62" s="96"/>
    </row>
    <row r="63" spans="1:20" s="3" customFormat="1">
      <c r="A63" s="158" t="s">
        <v>91</v>
      </c>
      <c r="B63" s="172" t="s">
        <v>33</v>
      </c>
      <c r="C63" s="261" t="s">
        <v>140</v>
      </c>
      <c r="D63" s="283">
        <v>525.41</v>
      </c>
      <c r="E63" s="283"/>
      <c r="F63" s="252">
        <f t="shared" si="22"/>
        <v>-525.41</v>
      </c>
      <c r="G63" s="252">
        <f t="shared" si="23"/>
        <v>-100</v>
      </c>
      <c r="H63" s="283">
        <v>976.37736529999995</v>
      </c>
      <c r="I63" s="283" t="e">
        <f>E63+#REF!+#REF!+#REF!+#REF!</f>
        <v>#REF!</v>
      </c>
      <c r="J63" s="21">
        <v>-976.37736529999995</v>
      </c>
      <c r="K63" s="131" t="e">
        <f t="shared" si="24"/>
        <v>#REF!</v>
      </c>
      <c r="L63" s="53"/>
      <c r="M63" s="9"/>
      <c r="N63" s="53">
        <f t="shared" si="25"/>
        <v>976.37736529999995</v>
      </c>
      <c r="O63" s="9" t="e">
        <f>E63+#REF!+#REF!+#REF!+#REF!+M63</f>
        <v>#REF!</v>
      </c>
      <c r="P63" s="88" t="e">
        <f t="shared" si="28"/>
        <v>#REF!</v>
      </c>
      <c r="Q63" s="89" t="e">
        <f t="shared" si="29"/>
        <v>#REF!</v>
      </c>
      <c r="R63" s="242"/>
      <c r="S63" s="96"/>
    </row>
    <row r="64" spans="1:20" s="3" customFormat="1">
      <c r="A64" s="158" t="s">
        <v>92</v>
      </c>
      <c r="B64" s="172" t="s">
        <v>34</v>
      </c>
      <c r="C64" s="261" t="s">
        <v>140</v>
      </c>
      <c r="D64" s="283">
        <v>5167.72</v>
      </c>
      <c r="E64" s="283">
        <f>270000/1000*E77</f>
        <v>122.364</v>
      </c>
      <c r="F64" s="252">
        <f t="shared" si="22"/>
        <v>-5045.3560000000007</v>
      </c>
      <c r="G64" s="252">
        <f t="shared" si="23"/>
        <v>-97.632147252560117</v>
      </c>
      <c r="H64" s="283">
        <v>3857.6578399999999</v>
      </c>
      <c r="I64" s="283" t="e">
        <f>E64+#REF!+#REF!+#REF!+#REF!</f>
        <v>#REF!</v>
      </c>
      <c r="J64" s="21">
        <v>-887.15783999999985</v>
      </c>
      <c r="K64" s="131" t="e">
        <f t="shared" si="24"/>
        <v>#REF!</v>
      </c>
      <c r="L64" s="53"/>
      <c r="M64" s="9"/>
      <c r="N64" s="53">
        <f t="shared" si="25"/>
        <v>3857.6578399999999</v>
      </c>
      <c r="O64" s="9" t="e">
        <f>E64+#REF!+#REF!+#REF!+#REF!+M64</f>
        <v>#REF!</v>
      </c>
      <c r="P64" s="88" t="e">
        <f t="shared" si="28"/>
        <v>#REF!</v>
      </c>
      <c r="Q64" s="89" t="e">
        <f t="shared" si="29"/>
        <v>#REF!</v>
      </c>
      <c r="R64" s="242">
        <v>270</v>
      </c>
      <c r="S64" s="96" t="e">
        <f t="shared" si="20"/>
        <v>#REF!</v>
      </c>
    </row>
    <row r="65" spans="1:19" s="3" customFormat="1">
      <c r="A65" s="158" t="s">
        <v>93</v>
      </c>
      <c r="B65" s="172" t="s">
        <v>35</v>
      </c>
      <c r="C65" s="261" t="s">
        <v>140</v>
      </c>
      <c r="D65" s="283">
        <v>0</v>
      </c>
      <c r="E65" s="283">
        <f>(54696.43/1000+673501.48/1000+38178.57/1000+180514.26/1000+490000/1000)*E77</f>
        <v>651.198883368</v>
      </c>
      <c r="F65" s="252">
        <f t="shared" si="22"/>
        <v>651.198883368</v>
      </c>
      <c r="G65" s="252"/>
      <c r="H65" s="283">
        <v>158.56025589424996</v>
      </c>
      <c r="I65" s="283" t="e">
        <f>E65+#REF!+#REF!+#REF!+#REF!</f>
        <v>#REF!</v>
      </c>
      <c r="J65" s="21">
        <v>359.24974410574998</v>
      </c>
      <c r="K65" s="131" t="e">
        <f t="shared" si="24"/>
        <v>#REF!</v>
      </c>
      <c r="L65" s="53"/>
      <c r="M65" s="9"/>
      <c r="N65" s="53">
        <f t="shared" si="25"/>
        <v>158.56025589424996</v>
      </c>
      <c r="O65" s="9" t="e">
        <f>E65+#REF!+#REF!+#REF!+#REF!+M65</f>
        <v>#REF!</v>
      </c>
      <c r="P65" s="88" t="e">
        <f t="shared" si="28"/>
        <v>#REF!</v>
      </c>
      <c r="Q65" s="89" t="e">
        <f t="shared" si="29"/>
        <v>#REF!</v>
      </c>
      <c r="R65" s="242">
        <v>730.04826000000003</v>
      </c>
      <c r="S65" s="96" t="e">
        <f t="shared" si="20"/>
        <v>#REF!</v>
      </c>
    </row>
    <row r="66" spans="1:19" s="3" customFormat="1">
      <c r="A66" s="158" t="s">
        <v>94</v>
      </c>
      <c r="B66" s="172" t="s">
        <v>36</v>
      </c>
      <c r="C66" s="261" t="s">
        <v>140</v>
      </c>
      <c r="D66" s="283">
        <v>0</v>
      </c>
      <c r="E66" s="283">
        <f>5166437/1000*E77</f>
        <v>2341.4292483999998</v>
      </c>
      <c r="F66" s="252">
        <f t="shared" si="22"/>
        <v>2341.4292483999998</v>
      </c>
      <c r="G66" s="252"/>
      <c r="H66" s="283">
        <v>6.03</v>
      </c>
      <c r="I66" s="283" t="e">
        <f>E66+#REF!+#REF!+#REF!+#REF!</f>
        <v>#REF!</v>
      </c>
      <c r="J66" s="21">
        <v>18362.080000000002</v>
      </c>
      <c r="K66" s="131" t="e">
        <f t="shared" si="24"/>
        <v>#REF!</v>
      </c>
      <c r="L66" s="53"/>
      <c r="M66" s="9"/>
      <c r="N66" s="53">
        <f t="shared" si="25"/>
        <v>6.03</v>
      </c>
      <c r="O66" s="9" t="e">
        <f>E66+#REF!+#REF!+#REF!+#REF!+M66</f>
        <v>#REF!</v>
      </c>
      <c r="P66" s="21" t="e">
        <f t="shared" si="28"/>
        <v>#REF!</v>
      </c>
      <c r="Q66" s="54" t="e">
        <f t="shared" si="29"/>
        <v>#REF!</v>
      </c>
      <c r="R66" s="242">
        <v>5166.4369999999999</v>
      </c>
      <c r="S66" s="96" t="e">
        <f t="shared" si="20"/>
        <v>#REF!</v>
      </c>
    </row>
    <row r="67" spans="1:19" s="3" customFormat="1">
      <c r="A67" s="158" t="s">
        <v>95</v>
      </c>
      <c r="B67" s="172" t="s">
        <v>37</v>
      </c>
      <c r="C67" s="261" t="s">
        <v>140</v>
      </c>
      <c r="D67" s="283">
        <v>1550.92</v>
      </c>
      <c r="E67" s="283">
        <f>888792/1000*E77</f>
        <v>402.8005344</v>
      </c>
      <c r="F67" s="252">
        <f t="shared" si="22"/>
        <v>-1148.1194656</v>
      </c>
      <c r="G67" s="252">
        <f t="shared" si="23"/>
        <v>-74.028284218399406</v>
      </c>
      <c r="H67" s="283">
        <v>2071.5439200000001</v>
      </c>
      <c r="I67" s="283" t="e">
        <f>E67+#REF!+#REF!+#REF!+#REF!</f>
        <v>#REF!</v>
      </c>
      <c r="J67" s="21">
        <v>-1038.5439200000001</v>
      </c>
      <c r="K67" s="131" t="e">
        <f t="shared" si="24"/>
        <v>#REF!</v>
      </c>
      <c r="L67" s="53"/>
      <c r="M67" s="9"/>
      <c r="N67" s="53">
        <f t="shared" si="25"/>
        <v>2071.5439200000001</v>
      </c>
      <c r="O67" s="9" t="e">
        <f>E67+#REF!+#REF!+#REF!+#REF!+M67</f>
        <v>#REF!</v>
      </c>
      <c r="P67" s="21" t="e">
        <f t="shared" si="28"/>
        <v>#REF!</v>
      </c>
      <c r="Q67" s="54" t="e">
        <f t="shared" si="29"/>
        <v>#REF!</v>
      </c>
      <c r="R67" s="242">
        <v>998.79200000000003</v>
      </c>
      <c r="S67" s="96" t="e">
        <f t="shared" si="20"/>
        <v>#REF!</v>
      </c>
    </row>
    <row r="68" spans="1:19" s="3" customFormat="1">
      <c r="A68" s="158" t="s">
        <v>96</v>
      </c>
      <c r="B68" s="172" t="s">
        <v>38</v>
      </c>
      <c r="C68" s="261" t="s">
        <v>140</v>
      </c>
      <c r="D68" s="283">
        <v>123</v>
      </c>
      <c r="E68" s="283"/>
      <c r="F68" s="252">
        <f t="shared" si="22"/>
        <v>-123</v>
      </c>
      <c r="G68" s="252">
        <f t="shared" si="23"/>
        <v>-100</v>
      </c>
      <c r="H68" s="283">
        <v>123.42</v>
      </c>
      <c r="I68" s="283" t="e">
        <f>E68+#REF!+#REF!+#REF!+#REF!</f>
        <v>#REF!</v>
      </c>
      <c r="J68" s="21">
        <v>26.58</v>
      </c>
      <c r="K68" s="131" t="e">
        <f t="shared" si="24"/>
        <v>#REF!</v>
      </c>
      <c r="L68" s="53"/>
      <c r="M68" s="9"/>
      <c r="N68" s="53">
        <f t="shared" si="25"/>
        <v>123.42</v>
      </c>
      <c r="O68" s="9" t="e">
        <f>E68+#REF!+#REF!+#REF!+#REF!+M68</f>
        <v>#REF!</v>
      </c>
      <c r="P68" s="21" t="e">
        <f t="shared" si="28"/>
        <v>#REF!</v>
      </c>
      <c r="Q68" s="54" t="e">
        <f t="shared" si="29"/>
        <v>#REF!</v>
      </c>
      <c r="R68" s="242">
        <v>105</v>
      </c>
      <c r="S68" s="96" t="e">
        <f t="shared" si="20"/>
        <v>#REF!</v>
      </c>
    </row>
    <row r="69" spans="1:19" s="3" customFormat="1">
      <c r="A69" s="158" t="s">
        <v>97</v>
      </c>
      <c r="B69" s="172" t="s">
        <v>39</v>
      </c>
      <c r="C69" s="261" t="s">
        <v>140</v>
      </c>
      <c r="D69" s="283">
        <v>7.58</v>
      </c>
      <c r="E69" s="283"/>
      <c r="F69" s="252">
        <f t="shared" si="22"/>
        <v>-7.58</v>
      </c>
      <c r="G69" s="252">
        <f t="shared" si="23"/>
        <v>-100</v>
      </c>
      <c r="H69" s="283">
        <v>0</v>
      </c>
      <c r="I69" s="283" t="e">
        <f>E69+#REF!+#REF!+#REF!+#REF!</f>
        <v>#REF!</v>
      </c>
      <c r="J69" s="21">
        <v>7.98</v>
      </c>
      <c r="K69" s="131"/>
      <c r="L69" s="53"/>
      <c r="M69" s="9"/>
      <c r="N69" s="53">
        <f t="shared" si="25"/>
        <v>0</v>
      </c>
      <c r="O69" s="9" t="e">
        <f>E69+#REF!+#REF!+#REF!+#REF!+M69</f>
        <v>#REF!</v>
      </c>
      <c r="P69" s="21" t="e">
        <f t="shared" si="28"/>
        <v>#REF!</v>
      </c>
      <c r="Q69" s="54" t="e">
        <f t="shared" si="29"/>
        <v>#REF!</v>
      </c>
      <c r="R69" s="242"/>
      <c r="S69" s="96"/>
    </row>
    <row r="70" spans="1:19" s="3" customFormat="1">
      <c r="A70" s="158" t="s">
        <v>98</v>
      </c>
      <c r="B70" s="172" t="s">
        <v>40</v>
      </c>
      <c r="C70" s="261" t="s">
        <v>140</v>
      </c>
      <c r="D70" s="283">
        <v>482.19</v>
      </c>
      <c r="E70" s="283"/>
      <c r="F70" s="252">
        <f t="shared" si="22"/>
        <v>-482.19</v>
      </c>
      <c r="G70" s="252">
        <f t="shared" si="23"/>
        <v>-100</v>
      </c>
      <c r="H70" s="283">
        <v>907.64068592000001</v>
      </c>
      <c r="I70" s="283" t="e">
        <f>E70+#REF!+#REF!+#REF!+#REF!</f>
        <v>#REF!</v>
      </c>
      <c r="J70" s="21">
        <v>22.17931408000004</v>
      </c>
      <c r="K70" s="131" t="e">
        <f t="shared" si="24"/>
        <v>#REF!</v>
      </c>
      <c r="L70" s="53"/>
      <c r="M70" s="9"/>
      <c r="N70" s="53">
        <f t="shared" si="25"/>
        <v>907.64068592000001</v>
      </c>
      <c r="O70" s="9" t="e">
        <f>E70+#REF!+#REF!+#REF!+#REF!+M70</f>
        <v>#REF!</v>
      </c>
      <c r="P70" s="88" t="e">
        <f t="shared" si="28"/>
        <v>#REF!</v>
      </c>
      <c r="Q70" s="89" t="e">
        <f t="shared" si="29"/>
        <v>#REF!</v>
      </c>
      <c r="R70" s="242"/>
      <c r="S70" s="96"/>
    </row>
    <row r="71" spans="1:19" s="3" customFormat="1">
      <c r="A71" s="158" t="s">
        <v>99</v>
      </c>
      <c r="B71" s="172" t="s">
        <v>41</v>
      </c>
      <c r="C71" s="261" t="s">
        <v>140</v>
      </c>
      <c r="D71" s="283">
        <v>363</v>
      </c>
      <c r="E71" s="283">
        <f>915978.22/1000*E77</f>
        <v>415.12132930399997</v>
      </c>
      <c r="F71" s="252">
        <f t="shared" si="22"/>
        <v>52.121329303999971</v>
      </c>
      <c r="G71" s="252">
        <f t="shared" si="23"/>
        <v>14.358492921212118</v>
      </c>
      <c r="H71" s="283">
        <v>527.39284000000009</v>
      </c>
      <c r="I71" s="283" t="e">
        <f>E71+#REF!+#REF!+#REF!+#REF!</f>
        <v>#REF!</v>
      </c>
      <c r="J71" s="21">
        <v>-11.80284000000006</v>
      </c>
      <c r="K71" s="131" t="e">
        <f t="shared" si="24"/>
        <v>#REF!</v>
      </c>
      <c r="L71" s="53"/>
      <c r="M71" s="9"/>
      <c r="N71" s="53">
        <f t="shared" si="25"/>
        <v>527.39284000000009</v>
      </c>
      <c r="O71" s="9" t="e">
        <f>E71+#REF!+#REF!+#REF!+#REF!+M71</f>
        <v>#REF!</v>
      </c>
      <c r="P71" s="21" t="e">
        <f t="shared" si="28"/>
        <v>#REF!</v>
      </c>
      <c r="Q71" s="54" t="e">
        <f t="shared" si="29"/>
        <v>#REF!</v>
      </c>
      <c r="R71" s="242">
        <v>880.66571999999996</v>
      </c>
      <c r="S71" s="96" t="e">
        <f t="shared" si="20"/>
        <v>#REF!</v>
      </c>
    </row>
    <row r="72" spans="1:19" s="3" customFormat="1">
      <c r="A72" s="158" t="s">
        <v>100</v>
      </c>
      <c r="B72" s="172" t="s">
        <v>43</v>
      </c>
      <c r="C72" s="261" t="s">
        <v>140</v>
      </c>
      <c r="D72" s="283">
        <v>344.53</v>
      </c>
      <c r="E72" s="283">
        <f>350000/1000</f>
        <v>350</v>
      </c>
      <c r="F72" s="252">
        <f t="shared" si="22"/>
        <v>5.4700000000000273</v>
      </c>
      <c r="G72" s="252">
        <f t="shared" si="23"/>
        <v>1.5876701593475389</v>
      </c>
      <c r="H72" s="283">
        <v>846.40967161108404</v>
      </c>
      <c r="I72" s="283" t="e">
        <f>E72+#REF!+#REF!+#REF!+#REF!</f>
        <v>#REF!</v>
      </c>
      <c r="J72" s="21">
        <v>7046.650328388916</v>
      </c>
      <c r="K72" s="131" t="e">
        <f t="shared" si="24"/>
        <v>#REF!</v>
      </c>
      <c r="L72" s="53"/>
      <c r="M72" s="9"/>
      <c r="N72" s="53">
        <f t="shared" si="25"/>
        <v>846.40967161108404</v>
      </c>
      <c r="O72" s="9" t="e">
        <f>E72+#REF!+#REF!+#REF!+#REF!+M72</f>
        <v>#REF!</v>
      </c>
      <c r="P72" s="21" t="e">
        <f t="shared" si="28"/>
        <v>#REF!</v>
      </c>
      <c r="Q72" s="54" t="e">
        <f t="shared" si="29"/>
        <v>#REF!</v>
      </c>
      <c r="R72" s="242">
        <v>52.25</v>
      </c>
      <c r="S72" s="96" t="e">
        <f t="shared" si="20"/>
        <v>#REF!</v>
      </c>
    </row>
    <row r="73" spans="1:19" s="3" customFormat="1">
      <c r="A73" s="158" t="s">
        <v>101</v>
      </c>
      <c r="B73" s="172" t="s">
        <v>44</v>
      </c>
      <c r="C73" s="261" t="s">
        <v>140</v>
      </c>
      <c r="D73" s="283"/>
      <c r="E73" s="283"/>
      <c r="F73" s="252">
        <f t="shared" si="22"/>
        <v>0</v>
      </c>
      <c r="G73" s="252"/>
      <c r="H73" s="283">
        <v>5</v>
      </c>
      <c r="I73" s="283" t="e">
        <f>E73+#REF!+#REF!+#REF!+#REF!</f>
        <v>#REF!</v>
      </c>
      <c r="J73" s="21">
        <v>3761.49</v>
      </c>
      <c r="K73" s="131" t="e">
        <f t="shared" si="24"/>
        <v>#REF!</v>
      </c>
      <c r="L73" s="53"/>
      <c r="M73" s="9"/>
      <c r="N73" s="53">
        <f t="shared" si="25"/>
        <v>5</v>
      </c>
      <c r="O73" s="9" t="e">
        <f>E73+#REF!+#REF!+#REF!+#REF!+M73</f>
        <v>#REF!</v>
      </c>
      <c r="P73" s="21" t="e">
        <f t="shared" si="28"/>
        <v>#REF!</v>
      </c>
      <c r="Q73" s="54" t="e">
        <f t="shared" si="29"/>
        <v>#REF!</v>
      </c>
      <c r="R73" s="242">
        <v>133.92898000000002</v>
      </c>
      <c r="S73" s="96" t="e">
        <f t="shared" si="20"/>
        <v>#REF!</v>
      </c>
    </row>
    <row r="74" spans="1:19" s="3" customFormat="1" ht="31.5">
      <c r="A74" s="158" t="s">
        <v>102</v>
      </c>
      <c r="B74" s="172" t="s">
        <v>46</v>
      </c>
      <c r="C74" s="261" t="s">
        <v>140</v>
      </c>
      <c r="D74" s="283">
        <v>104.93</v>
      </c>
      <c r="E74" s="283">
        <f>726324/1000*E77</f>
        <v>329.17003679999999</v>
      </c>
      <c r="F74" s="252">
        <f t="shared" si="22"/>
        <v>224.24003679999998</v>
      </c>
      <c r="G74" s="252">
        <f t="shared" si="23"/>
        <v>213.70440941580097</v>
      </c>
      <c r="H74" s="283">
        <v>1853.8739650520001</v>
      </c>
      <c r="I74" s="283" t="e">
        <f>E74+#REF!+#REF!+#REF!+#REF!</f>
        <v>#REF!</v>
      </c>
      <c r="J74" s="21">
        <v>83.346034947999897</v>
      </c>
      <c r="K74" s="131" t="e">
        <f t="shared" si="24"/>
        <v>#REF!</v>
      </c>
      <c r="L74" s="53"/>
      <c r="M74" s="9"/>
      <c r="N74" s="53">
        <f t="shared" si="25"/>
        <v>1853.8739650520001</v>
      </c>
      <c r="O74" s="9" t="e">
        <f>E74+#REF!+#REF!+#REF!+#REF!+M74</f>
        <v>#REF!</v>
      </c>
      <c r="P74" s="21" t="e">
        <f t="shared" si="28"/>
        <v>#REF!</v>
      </c>
      <c r="Q74" s="54" t="e">
        <f t="shared" si="29"/>
        <v>#REF!</v>
      </c>
      <c r="R74" s="242">
        <v>726.32399999999996</v>
      </c>
      <c r="S74" s="96" t="e">
        <f t="shared" si="20"/>
        <v>#REF!</v>
      </c>
    </row>
    <row r="75" spans="1:19" s="3" customFormat="1" hidden="1">
      <c r="A75" s="158" t="s">
        <v>103</v>
      </c>
      <c r="B75" s="172" t="s">
        <v>42</v>
      </c>
      <c r="C75" s="261" t="s">
        <v>140</v>
      </c>
      <c r="D75" s="283"/>
      <c r="E75" s="283"/>
      <c r="F75" s="252"/>
      <c r="G75" s="252"/>
      <c r="H75" s="283">
        <v>7450</v>
      </c>
      <c r="I75" s="283" t="e">
        <f>E75+#REF!+#REF!+#REF!+#REF!</f>
        <v>#REF!</v>
      </c>
      <c r="J75" s="21">
        <v>0</v>
      </c>
      <c r="K75" s="131" t="e">
        <f t="shared" si="24"/>
        <v>#REF!</v>
      </c>
      <c r="L75" s="53"/>
      <c r="M75" s="9"/>
      <c r="N75" s="53">
        <f t="shared" si="25"/>
        <v>7450</v>
      </c>
      <c r="O75" s="9" t="e">
        <f>E75+#REF!+#REF!+#REF!+#REF!+M75</f>
        <v>#REF!</v>
      </c>
      <c r="P75" s="21" t="e">
        <f t="shared" si="28"/>
        <v>#REF!</v>
      </c>
      <c r="Q75" s="54" t="e">
        <f t="shared" si="29"/>
        <v>#REF!</v>
      </c>
      <c r="R75" s="242"/>
      <c r="S75" s="96"/>
    </row>
    <row r="76" spans="1:19" s="3" customFormat="1" hidden="1">
      <c r="A76" s="158" t="s">
        <v>104</v>
      </c>
      <c r="B76" s="172" t="s">
        <v>45</v>
      </c>
      <c r="C76" s="261" t="s">
        <v>140</v>
      </c>
      <c r="D76" s="283"/>
      <c r="E76" s="283"/>
      <c r="F76" s="252"/>
      <c r="G76" s="252"/>
      <c r="H76" s="283">
        <v>80.483000000000004</v>
      </c>
      <c r="I76" s="283" t="e">
        <f>E76+#REF!+#REF!+#REF!+#REF!</f>
        <v>#REF!</v>
      </c>
      <c r="J76" s="21">
        <v>-3.0000000000001137E-3</v>
      </c>
      <c r="K76" s="131" t="e">
        <f t="shared" si="24"/>
        <v>#REF!</v>
      </c>
      <c r="L76" s="53"/>
      <c r="M76" s="9"/>
      <c r="N76" s="53">
        <f t="shared" si="25"/>
        <v>80.483000000000004</v>
      </c>
      <c r="O76" s="9" t="e">
        <f>E76+#REF!+#REF!+#REF!+#REF!+M76</f>
        <v>#REF!</v>
      </c>
      <c r="P76" s="21" t="e">
        <f t="shared" si="28"/>
        <v>#REF!</v>
      </c>
      <c r="Q76" s="54" t="e">
        <f t="shared" si="29"/>
        <v>#REF!</v>
      </c>
      <c r="R76" s="242"/>
      <c r="S76" s="96"/>
    </row>
    <row r="77" spans="1:19" s="39" customFormat="1" hidden="1">
      <c r="A77" s="161"/>
      <c r="B77" s="174" t="s">
        <v>126</v>
      </c>
      <c r="C77" s="263" t="s">
        <v>140</v>
      </c>
      <c r="D77" s="289"/>
      <c r="E77" s="289">
        <v>0.45319999999999999</v>
      </c>
      <c r="F77" s="290"/>
      <c r="G77" s="291"/>
      <c r="H77" s="292"/>
      <c r="I77" s="292"/>
      <c r="J77" s="76"/>
      <c r="K77" s="131"/>
      <c r="L77" s="68"/>
      <c r="M77" s="38"/>
      <c r="N77" s="69">
        <f>H77+L77</f>
        <v>0</v>
      </c>
      <c r="O77" s="26"/>
      <c r="P77" s="21"/>
      <c r="Q77" s="54"/>
      <c r="R77" s="242"/>
      <c r="S77" s="96"/>
    </row>
    <row r="78" spans="1:19">
      <c r="A78" s="157" t="s">
        <v>155</v>
      </c>
      <c r="B78" s="169" t="s">
        <v>47</v>
      </c>
      <c r="C78" s="257"/>
      <c r="D78" s="280"/>
      <c r="E78" s="280"/>
      <c r="F78" s="281"/>
      <c r="G78" s="282"/>
      <c r="H78" s="280"/>
      <c r="I78" s="280"/>
      <c r="J78" s="31"/>
      <c r="K78" s="31"/>
      <c r="L78" s="44"/>
      <c r="M78" s="11"/>
      <c r="N78" s="44"/>
      <c r="O78" s="11"/>
      <c r="P78" s="31">
        <f>O78-N78</f>
        <v>0</v>
      </c>
      <c r="Q78" s="61"/>
      <c r="R78" s="242"/>
      <c r="S78" s="96"/>
    </row>
    <row r="79" spans="1:19">
      <c r="A79" s="159" t="s">
        <v>48</v>
      </c>
      <c r="B79" s="173" t="s">
        <v>49</v>
      </c>
      <c r="C79" s="260" t="s">
        <v>140</v>
      </c>
      <c r="D79" s="277">
        <f>D20+D43</f>
        <v>1503931.875</v>
      </c>
      <c r="E79" s="277">
        <f>E20+E43</f>
        <v>636414.154460944</v>
      </c>
      <c r="F79" s="278">
        <f t="shared" si="5"/>
        <v>-867517.720539056</v>
      </c>
      <c r="G79" s="279">
        <f t="shared" si="6"/>
        <v>-57.683312320184449</v>
      </c>
      <c r="H79" s="277" t="e">
        <f>H20+H43</f>
        <v>#REF!</v>
      </c>
      <c r="I79" s="277" t="e">
        <f>I20+I43</f>
        <v>#REF!</v>
      </c>
      <c r="J79" s="30" t="e">
        <f>I79-H79</f>
        <v>#REF!</v>
      </c>
      <c r="K79" s="30" t="e">
        <f>I79/H79*100-100</f>
        <v>#REF!</v>
      </c>
      <c r="L79" s="43">
        <f>L83</f>
        <v>256332.14</v>
      </c>
      <c r="M79" s="10">
        <f>M20+M43</f>
        <v>0</v>
      </c>
      <c r="N79" s="43" t="e">
        <f>N20+N43</f>
        <v>#REF!</v>
      </c>
      <c r="O79" s="10" t="e">
        <f>O20+O43</f>
        <v>#REF!</v>
      </c>
      <c r="P79" s="30" t="e">
        <f>O79-N79</f>
        <v>#REF!</v>
      </c>
      <c r="Q79" s="62" t="e">
        <f>O79/N79*100-100</f>
        <v>#REF!</v>
      </c>
      <c r="R79" s="242"/>
    </row>
    <row r="80" spans="1:19" s="36" customFormat="1">
      <c r="A80" s="158" t="s">
        <v>50</v>
      </c>
      <c r="B80" s="170" t="s">
        <v>156</v>
      </c>
      <c r="C80" s="255" t="s">
        <v>140</v>
      </c>
      <c r="D80" s="293">
        <v>34443.760000000002</v>
      </c>
      <c r="E80" s="293">
        <v>0</v>
      </c>
      <c r="F80" s="294">
        <f t="shared" si="5"/>
        <v>-34443.760000000002</v>
      </c>
      <c r="G80" s="294">
        <f t="shared" si="6"/>
        <v>-100</v>
      </c>
      <c r="H80" s="293" t="e">
        <f>D80+#REF!+#REF!+#REF!+#REF!</f>
        <v>#REF!</v>
      </c>
      <c r="I80" s="293" t="e">
        <f>E80+#REF!+#REF!+#REF!</f>
        <v>#REF!</v>
      </c>
      <c r="J80" s="85" t="e">
        <f>I80-H80</f>
        <v>#REF!</v>
      </c>
      <c r="K80" s="85" t="e">
        <f>I80/H80*100-100</f>
        <v>#REF!</v>
      </c>
      <c r="L80" s="56"/>
      <c r="M80" s="13"/>
      <c r="N80" s="53" t="e">
        <f>H80+L80</f>
        <v>#REF!</v>
      </c>
      <c r="O80" s="9" t="e">
        <f>I80+M80</f>
        <v>#REF!</v>
      </c>
      <c r="P80" s="21" t="e">
        <f>O80-N80</f>
        <v>#REF!</v>
      </c>
      <c r="Q80" s="54" t="e">
        <f>O80/N80*100-100</f>
        <v>#REF!</v>
      </c>
      <c r="R80" s="242"/>
    </row>
    <row r="81" spans="1:19" s="36" customFormat="1" ht="31.5">
      <c r="A81" s="245" t="s">
        <v>105</v>
      </c>
      <c r="B81" s="171" t="s">
        <v>106</v>
      </c>
      <c r="C81" s="259" t="s">
        <v>140</v>
      </c>
      <c r="D81" s="293">
        <v>1597297.95</v>
      </c>
      <c r="E81" s="283"/>
      <c r="F81" s="252">
        <f t="shared" si="5"/>
        <v>-1597297.95</v>
      </c>
      <c r="G81" s="252">
        <f t="shared" si="6"/>
        <v>-100</v>
      </c>
      <c r="H81" s="283" t="e">
        <f>D81+#REF!+#REF!+#REF!+#REF!</f>
        <v>#REF!</v>
      </c>
      <c r="I81" s="293"/>
      <c r="J81" s="85" t="e">
        <f>I81-H81</f>
        <v>#REF!</v>
      </c>
      <c r="K81" s="85" t="e">
        <f>I81/H81*100-100</f>
        <v>#REF!</v>
      </c>
      <c r="L81" s="53"/>
      <c r="M81" s="9"/>
      <c r="N81" s="53" t="e">
        <f>H81+L81</f>
        <v>#REF!</v>
      </c>
      <c r="O81" s="9">
        <f>I81+M81</f>
        <v>0</v>
      </c>
      <c r="P81" s="21" t="e">
        <f>O81-N81</f>
        <v>#REF!</v>
      </c>
      <c r="Q81" s="54" t="e">
        <f>O81/N81*100-100</f>
        <v>#REF!</v>
      </c>
      <c r="R81" s="242"/>
    </row>
    <row r="82" spans="1:19" s="138" customFormat="1">
      <c r="A82" s="162"/>
      <c r="B82" s="175"/>
      <c r="C82" s="264"/>
      <c r="D82" s="295"/>
      <c r="E82" s="296"/>
      <c r="F82" s="297"/>
      <c r="G82" s="297"/>
      <c r="H82" s="296"/>
      <c r="I82" s="298"/>
      <c r="J82" s="135"/>
      <c r="K82" s="135"/>
      <c r="L82" s="134"/>
      <c r="M82" s="133"/>
      <c r="N82" s="134"/>
      <c r="O82" s="139"/>
      <c r="P82" s="136"/>
      <c r="Q82" s="137"/>
      <c r="R82" s="242"/>
    </row>
    <row r="83" spans="1:19">
      <c r="A83" s="159" t="s">
        <v>51</v>
      </c>
      <c r="B83" s="173" t="s">
        <v>52</v>
      </c>
      <c r="C83" s="260" t="s">
        <v>140</v>
      </c>
      <c r="D83" s="277">
        <f>D79+D80</f>
        <v>1538375.635</v>
      </c>
      <c r="E83" s="277">
        <f>E79+E80+E82</f>
        <v>636414.154460944</v>
      </c>
      <c r="F83" s="278">
        <f t="shared" ref="F83:F96" si="30">E83-D83</f>
        <v>-901961.48053905601</v>
      </c>
      <c r="G83" s="279">
        <f t="shared" si="6"/>
        <v>-58.630770016001712</v>
      </c>
      <c r="H83" s="277" t="e">
        <f>H79+H80</f>
        <v>#REF!</v>
      </c>
      <c r="I83" s="277" t="e">
        <f>I79+I80+I82</f>
        <v>#REF!</v>
      </c>
      <c r="J83" s="30" t="e">
        <f>I83-H83</f>
        <v>#REF!</v>
      </c>
      <c r="K83" s="30" t="e">
        <f>I83/H83*100-100</f>
        <v>#REF!</v>
      </c>
      <c r="L83" s="43">
        <v>256332.14</v>
      </c>
      <c r="M83" s="10">
        <f>M79+M80</f>
        <v>0</v>
      </c>
      <c r="N83" s="43" t="e">
        <f>N79+N80</f>
        <v>#REF!</v>
      </c>
      <c r="O83" s="10" t="e">
        <f>O79+O80+O82</f>
        <v>#REF!</v>
      </c>
      <c r="P83" s="30" t="e">
        <f>O83-N83</f>
        <v>#REF!</v>
      </c>
      <c r="Q83" s="62" t="e">
        <f>O83/N83*100-100</f>
        <v>#REF!</v>
      </c>
      <c r="R83" s="242">
        <f>51139983.27/1000</f>
        <v>51139.983270000004</v>
      </c>
    </row>
    <row r="84" spans="1:19" ht="31.5">
      <c r="A84" s="245" t="s">
        <v>53</v>
      </c>
      <c r="B84" s="171" t="s">
        <v>54</v>
      </c>
      <c r="C84" s="150" t="s">
        <v>157</v>
      </c>
      <c r="D84" s="142">
        <v>1029.23</v>
      </c>
      <c r="E84" s="9">
        <f>668558.94/1000</f>
        <v>668.55893999999989</v>
      </c>
      <c r="F84" s="21">
        <f t="shared" si="30"/>
        <v>-360.67106000000013</v>
      </c>
      <c r="G84" s="55">
        <f t="shared" ref="G84:G96" si="31">E84/D84*100-100</f>
        <v>-35.04280481525025</v>
      </c>
      <c r="H84" s="53"/>
      <c r="I84" s="9"/>
      <c r="J84" s="21"/>
      <c r="K84" s="21"/>
      <c r="L84" s="129">
        <v>2307.61</v>
      </c>
      <c r="M84" s="107">
        <v>2307.61</v>
      </c>
      <c r="N84" s="53"/>
      <c r="O84" s="9"/>
      <c r="P84" s="21"/>
      <c r="Q84" s="54"/>
      <c r="R84" s="242" t="e">
        <f>I83+R83</f>
        <v>#REF!</v>
      </c>
      <c r="S84" s="242"/>
    </row>
    <row r="85" spans="1:19">
      <c r="A85" s="371" t="s">
        <v>107</v>
      </c>
      <c r="B85" s="372" t="s">
        <v>108</v>
      </c>
      <c r="C85" s="150" t="s">
        <v>109</v>
      </c>
      <c r="D85" s="142">
        <v>20</v>
      </c>
      <c r="E85" s="9">
        <v>20</v>
      </c>
      <c r="F85" s="21">
        <f t="shared" si="30"/>
        <v>0</v>
      </c>
      <c r="G85" s="55">
        <f t="shared" si="31"/>
        <v>0</v>
      </c>
      <c r="H85" s="53"/>
      <c r="I85" s="9"/>
      <c r="J85" s="21"/>
      <c r="K85" s="21"/>
      <c r="L85" s="53"/>
      <c r="M85" s="9"/>
      <c r="N85" s="53">
        <f>H85+L85</f>
        <v>0</v>
      </c>
      <c r="O85" s="9"/>
      <c r="P85" s="21"/>
      <c r="Q85" s="54"/>
      <c r="R85" s="244">
        <f>164012721.37/1000</f>
        <v>164012.72137000001</v>
      </c>
      <c r="S85" s="83"/>
    </row>
    <row r="86" spans="1:19">
      <c r="A86" s="371"/>
      <c r="B86" s="372"/>
      <c r="C86" s="150" t="s">
        <v>157</v>
      </c>
      <c r="D86" s="142">
        <v>277.79000000000002</v>
      </c>
      <c r="E86" s="9">
        <f>E84*0.2</f>
        <v>133.71178799999998</v>
      </c>
      <c r="F86" s="21">
        <f t="shared" si="30"/>
        <v>-144.07821200000004</v>
      </c>
      <c r="G86" s="55">
        <f t="shared" si="31"/>
        <v>-51.865874221534263</v>
      </c>
      <c r="H86" s="53"/>
      <c r="I86" s="9"/>
      <c r="J86" s="21"/>
      <c r="K86" s="21"/>
      <c r="L86" s="53"/>
      <c r="M86" s="9"/>
      <c r="N86" s="53">
        <f>H86+L86</f>
        <v>0</v>
      </c>
      <c r="O86" s="9"/>
      <c r="P86" s="21"/>
      <c r="Q86" s="54"/>
      <c r="R86" s="242" t="e">
        <f>R85-R84</f>
        <v>#REF!</v>
      </c>
      <c r="S86" s="83"/>
    </row>
    <row r="87" spans="1:19" hidden="1">
      <c r="A87" s="245"/>
      <c r="B87" s="246" t="s">
        <v>158</v>
      </c>
      <c r="C87" s="150"/>
      <c r="D87" s="142">
        <v>42034.41</v>
      </c>
      <c r="E87" s="9">
        <v>66455.186475660215</v>
      </c>
      <c r="F87" s="21">
        <f t="shared" si="30"/>
        <v>24420.776475660212</v>
      </c>
      <c r="G87" s="55">
        <f t="shared" si="31"/>
        <v>58.097107763996689</v>
      </c>
      <c r="H87" s="53"/>
      <c r="I87" s="12"/>
      <c r="J87" s="41"/>
      <c r="K87" s="41"/>
      <c r="L87" s="67"/>
      <c r="M87" s="12"/>
      <c r="N87" s="53">
        <f>H87+L87</f>
        <v>0</v>
      </c>
      <c r="O87" s="9">
        <f>I87+M87</f>
        <v>0</v>
      </c>
      <c r="P87" s="21">
        <f>O87-N87</f>
        <v>0</v>
      </c>
      <c r="Q87" s="54" t="e">
        <f>O87/N87*100-100</f>
        <v>#DIV/0!</v>
      </c>
      <c r="R87" s="242"/>
    </row>
    <row r="88" spans="1:19">
      <c r="A88" s="163" t="s">
        <v>55</v>
      </c>
      <c r="B88" s="176" t="s">
        <v>56</v>
      </c>
      <c r="C88" s="151" t="s">
        <v>172</v>
      </c>
      <c r="D88" s="143">
        <f>(D83-D87)/D84</f>
        <v>1453.845326117583</v>
      </c>
      <c r="E88" s="14">
        <f>(E83-E87)/E84</f>
        <v>852.51865450379569</v>
      </c>
      <c r="F88" s="32">
        <f t="shared" si="30"/>
        <v>-601.32667161378731</v>
      </c>
      <c r="G88" s="57">
        <f t="shared" si="31"/>
        <v>-41.361117363124066</v>
      </c>
      <c r="H88" s="45"/>
      <c r="I88" s="14"/>
      <c r="J88" s="32"/>
      <c r="K88" s="32"/>
      <c r="L88" s="45">
        <f>L83/L84</f>
        <v>111.08122256360477</v>
      </c>
      <c r="M88" s="14">
        <f>M83/M84</f>
        <v>0</v>
      </c>
      <c r="N88" s="45"/>
      <c r="O88" s="14"/>
      <c r="P88" s="32"/>
      <c r="Q88" s="63"/>
      <c r="R88" s="242"/>
    </row>
    <row r="89" spans="1:19" hidden="1">
      <c r="A89" s="152" t="s">
        <v>57</v>
      </c>
      <c r="B89" s="152"/>
      <c r="C89" s="152"/>
      <c r="D89" s="140" t="s">
        <v>175</v>
      </c>
      <c r="E89" s="9"/>
      <c r="F89" s="21" t="e">
        <f t="shared" si="30"/>
        <v>#VALUE!</v>
      </c>
      <c r="G89" s="55" t="e">
        <f t="shared" si="31"/>
        <v>#VALUE!</v>
      </c>
      <c r="H89" s="53"/>
      <c r="I89" s="9"/>
      <c r="J89" s="21"/>
      <c r="K89" s="21"/>
      <c r="L89" s="53"/>
      <c r="M89" s="9"/>
      <c r="N89" s="53"/>
      <c r="O89" s="9"/>
      <c r="P89" s="21"/>
      <c r="Q89" s="54"/>
      <c r="R89" s="242"/>
    </row>
    <row r="90" spans="1:19" ht="31.5" hidden="1">
      <c r="A90" s="157">
        <v>8</v>
      </c>
      <c r="B90" s="169" t="s">
        <v>58</v>
      </c>
      <c r="C90" s="149" t="s">
        <v>59</v>
      </c>
      <c r="D90" s="144">
        <f>D92+D93</f>
        <v>214.63000000000002</v>
      </c>
      <c r="E90" s="15">
        <f>E92+E93</f>
        <v>0</v>
      </c>
      <c r="F90" s="33">
        <f t="shared" si="30"/>
        <v>-214.63000000000002</v>
      </c>
      <c r="G90" s="58">
        <f t="shared" si="31"/>
        <v>-100</v>
      </c>
      <c r="H90" s="46" t="e">
        <f>H92+H93</f>
        <v>#REF!</v>
      </c>
      <c r="I90" s="15" t="e">
        <f>I92+I93</f>
        <v>#REF!</v>
      </c>
      <c r="J90" s="33" t="e">
        <f t="shared" ref="J90:J96" si="32">I90-H90</f>
        <v>#REF!</v>
      </c>
      <c r="K90" s="33" t="e">
        <f>I90/H90*100-100</f>
        <v>#REF!</v>
      </c>
      <c r="L90" s="46"/>
      <c r="M90" s="15"/>
      <c r="N90" s="218" t="e">
        <f>N92+N93</f>
        <v>#REF!</v>
      </c>
      <c r="O90" s="219" t="e">
        <f>O92+O93</f>
        <v>#REF!</v>
      </c>
      <c r="P90" s="70" t="e">
        <f>O90-N90</f>
        <v>#REF!</v>
      </c>
      <c r="Q90" s="220" t="e">
        <f>O90/N90*100-100</f>
        <v>#REF!</v>
      </c>
      <c r="R90" s="242"/>
    </row>
    <row r="91" spans="1:19" hidden="1">
      <c r="A91" s="164"/>
      <c r="B91" s="171" t="s">
        <v>60</v>
      </c>
      <c r="C91" s="150"/>
      <c r="D91" s="145"/>
      <c r="E91" s="16"/>
      <c r="F91" s="34">
        <f t="shared" si="30"/>
        <v>0</v>
      </c>
      <c r="G91" s="59" t="e">
        <f t="shared" si="31"/>
        <v>#DIV/0!</v>
      </c>
      <c r="H91" s="47"/>
      <c r="I91" s="16"/>
      <c r="J91" s="34">
        <f t="shared" si="32"/>
        <v>0</v>
      </c>
      <c r="K91" s="34"/>
      <c r="L91" s="47"/>
      <c r="M91" s="16"/>
      <c r="N91" s="221"/>
      <c r="O91" s="222"/>
      <c r="P91" s="223"/>
      <c r="Q91" s="224"/>
      <c r="R91" s="242"/>
    </row>
    <row r="92" spans="1:19" hidden="1">
      <c r="A92" s="164" t="s">
        <v>110</v>
      </c>
      <c r="B92" s="171" t="s">
        <v>61</v>
      </c>
      <c r="C92" s="150" t="s">
        <v>159</v>
      </c>
      <c r="D92" s="146">
        <v>201.58</v>
      </c>
      <c r="E92" s="17"/>
      <c r="F92" s="35">
        <f t="shared" si="30"/>
        <v>-201.58</v>
      </c>
      <c r="G92" s="60">
        <f t="shared" si="31"/>
        <v>-100</v>
      </c>
      <c r="H92" s="53" t="e">
        <f>D92+#REF!+#REF!+#REF!+#REF!</f>
        <v>#REF!</v>
      </c>
      <c r="I92" s="9" t="e">
        <f>E92+#REF!+#REF!+#REF!+#REF!</f>
        <v>#REF!</v>
      </c>
      <c r="J92" s="21" t="e">
        <f t="shared" si="32"/>
        <v>#REF!</v>
      </c>
      <c r="K92" s="21" t="e">
        <f>I92/H92*100-100</f>
        <v>#REF!</v>
      </c>
      <c r="L92" s="48"/>
      <c r="M92" s="17"/>
      <c r="N92" s="225" t="e">
        <f>H92+L92</f>
        <v>#REF!</v>
      </c>
      <c r="O92" s="226" t="e">
        <f>I92+M92</f>
        <v>#REF!</v>
      </c>
      <c r="P92" s="227" t="e">
        <f>O92-N92</f>
        <v>#REF!</v>
      </c>
      <c r="Q92" s="228" t="e">
        <f>O92/N92*100-100</f>
        <v>#REF!</v>
      </c>
      <c r="R92" s="242"/>
    </row>
    <row r="93" spans="1:19" hidden="1">
      <c r="A93" s="164" t="s">
        <v>111</v>
      </c>
      <c r="B93" s="171" t="s">
        <v>62</v>
      </c>
      <c r="C93" s="150" t="s">
        <v>159</v>
      </c>
      <c r="D93" s="146">
        <v>13.05</v>
      </c>
      <c r="E93" s="17"/>
      <c r="F93" s="35">
        <f t="shared" si="30"/>
        <v>-13.05</v>
      </c>
      <c r="G93" s="60">
        <f t="shared" si="31"/>
        <v>-100</v>
      </c>
      <c r="H93" s="53" t="e">
        <f>D93+#REF!+#REF!+#REF!+#REF!</f>
        <v>#REF!</v>
      </c>
      <c r="I93" s="9" t="e">
        <f>E93+#REF!+#REF!+#REF!+#REF!</f>
        <v>#REF!</v>
      </c>
      <c r="J93" s="21" t="e">
        <f t="shared" si="32"/>
        <v>#REF!</v>
      </c>
      <c r="K93" s="21" t="e">
        <f>I93/H93*100-100</f>
        <v>#REF!</v>
      </c>
      <c r="L93" s="48"/>
      <c r="M93" s="17"/>
      <c r="N93" s="225" t="e">
        <f>H93+L93</f>
        <v>#REF!</v>
      </c>
      <c r="O93" s="226" t="e">
        <f>I93+M93</f>
        <v>#REF!</v>
      </c>
      <c r="P93" s="227" t="e">
        <f>O93-N93</f>
        <v>#REF!</v>
      </c>
      <c r="Q93" s="228" t="e">
        <f>O93/N93*100-100</f>
        <v>#REF!</v>
      </c>
      <c r="R93" s="242"/>
    </row>
    <row r="94" spans="1:19" ht="31.5" hidden="1">
      <c r="A94" s="157">
        <v>9</v>
      </c>
      <c r="B94" s="169" t="s">
        <v>160</v>
      </c>
      <c r="C94" s="149" t="s">
        <v>63</v>
      </c>
      <c r="D94" s="144">
        <v>144471.10194574849</v>
      </c>
      <c r="E94" s="15" t="e">
        <f>(E29+E45)/E90/12*1000</f>
        <v>#DIV/0!</v>
      </c>
      <c r="F94" s="70" t="e">
        <f t="shared" si="30"/>
        <v>#DIV/0!</v>
      </c>
      <c r="G94" s="73" t="e">
        <f t="shared" si="31"/>
        <v>#DIV/0!</v>
      </c>
      <c r="H94" s="46" t="e">
        <f>(H28+H45)/H90/12*1000</f>
        <v>#REF!</v>
      </c>
      <c r="I94" s="15" t="e">
        <f>(I28+I45)/I90/12*1000</f>
        <v>#REF!</v>
      </c>
      <c r="J94" s="33" t="e">
        <f t="shared" si="32"/>
        <v>#REF!</v>
      </c>
      <c r="K94" s="33" t="e">
        <f>I94/H94*100-100</f>
        <v>#REF!</v>
      </c>
      <c r="L94" s="46"/>
      <c r="M94" s="15"/>
      <c r="N94" s="218" t="e">
        <f>(N28+N45)/N90/12*1000</f>
        <v>#REF!</v>
      </c>
      <c r="O94" s="219" t="e">
        <f>(O28+O45)/O90/12*1000</f>
        <v>#REF!</v>
      </c>
      <c r="P94" s="70" t="e">
        <f>O94-N94</f>
        <v>#REF!</v>
      </c>
      <c r="Q94" s="220" t="e">
        <f>O94/N94*100-100</f>
        <v>#REF!</v>
      </c>
      <c r="R94" s="242"/>
    </row>
    <row r="95" spans="1:19" hidden="1">
      <c r="A95" s="164" t="s">
        <v>112</v>
      </c>
      <c r="B95" s="171" t="s">
        <v>161</v>
      </c>
      <c r="C95" s="150" t="s">
        <v>159</v>
      </c>
      <c r="D95" s="146">
        <f>D28/12/D92*1000</f>
        <v>131246.71553064126</v>
      </c>
      <c r="E95" s="17" t="e">
        <f>E29/12/E92*1000</f>
        <v>#DIV/0!</v>
      </c>
      <c r="F95" s="35" t="e">
        <f t="shared" si="30"/>
        <v>#DIV/0!</v>
      </c>
      <c r="G95" s="74" t="e">
        <f t="shared" si="31"/>
        <v>#DIV/0!</v>
      </c>
      <c r="H95" s="48" t="e">
        <f>H28/12/H92*1000</f>
        <v>#REF!</v>
      </c>
      <c r="I95" s="17" t="e">
        <f>I28/12/I92*1000</f>
        <v>#REF!</v>
      </c>
      <c r="J95" s="35" t="e">
        <f t="shared" si="32"/>
        <v>#REF!</v>
      </c>
      <c r="K95" s="35" t="e">
        <f>I95/H95*100-100</f>
        <v>#REF!</v>
      </c>
      <c r="L95" s="48"/>
      <c r="M95" s="17"/>
      <c r="N95" s="229" t="e">
        <f>N28/12/N92*1000</f>
        <v>#REF!</v>
      </c>
      <c r="O95" s="230" t="e">
        <f>O28/12/O92*1000</f>
        <v>#REF!</v>
      </c>
      <c r="P95" s="227" t="e">
        <f>O95-N95</f>
        <v>#REF!</v>
      </c>
      <c r="Q95" s="228" t="e">
        <f>O95/N95*100-100</f>
        <v>#REF!</v>
      </c>
      <c r="R95" s="242"/>
    </row>
    <row r="96" spans="1:19" ht="16.5" hidden="1" thickBot="1">
      <c r="A96" s="165" t="s">
        <v>113</v>
      </c>
      <c r="B96" s="177" t="s">
        <v>162</v>
      </c>
      <c r="C96" s="153" t="s">
        <v>159</v>
      </c>
      <c r="D96" s="146">
        <f>D45/12/D93*1000</f>
        <v>170620.94508301406</v>
      </c>
      <c r="E96" s="50" t="e">
        <f>E45/12/E93*1000</f>
        <v>#DIV/0!</v>
      </c>
      <c r="F96" s="51" t="e">
        <f t="shared" si="30"/>
        <v>#DIV/0!</v>
      </c>
      <c r="G96" s="75" t="e">
        <f t="shared" si="31"/>
        <v>#DIV/0!</v>
      </c>
      <c r="H96" s="49" t="e">
        <f>H45/12/H93*1000</f>
        <v>#REF!</v>
      </c>
      <c r="I96" s="50" t="e">
        <f>I45/12/I93*1000</f>
        <v>#REF!</v>
      </c>
      <c r="J96" s="51" t="e">
        <f t="shared" si="32"/>
        <v>#REF!</v>
      </c>
      <c r="K96" s="51" t="e">
        <f>I96/H96*100-100</f>
        <v>#REF!</v>
      </c>
      <c r="L96" s="49"/>
      <c r="M96" s="50"/>
      <c r="N96" s="231" t="e">
        <f>N29/12/N93*1000</f>
        <v>#REF!</v>
      </c>
      <c r="O96" s="232" t="e">
        <f>O29/12/O93*1000</f>
        <v>#REF!</v>
      </c>
      <c r="P96" s="233" t="e">
        <f>O96-N96</f>
        <v>#REF!</v>
      </c>
      <c r="Q96" s="234" t="e">
        <f>O96/N96*100-100</f>
        <v>#REF!</v>
      </c>
      <c r="R96" s="242"/>
    </row>
    <row r="98" spans="2:4" ht="18.75" hidden="1">
      <c r="B98" s="1" t="s">
        <v>184</v>
      </c>
    </row>
    <row r="99" spans="2:4" ht="18.75" hidden="1">
      <c r="B99" s="1" t="s">
        <v>185</v>
      </c>
    </row>
    <row r="100" spans="2:4" ht="18.75" hidden="1">
      <c r="B100" s="1" t="s">
        <v>186</v>
      </c>
    </row>
    <row r="101" spans="2:4" ht="18.75" hidden="1">
      <c r="B101" s="1" t="s">
        <v>187</v>
      </c>
    </row>
    <row r="102" spans="2:4" ht="18.75" hidden="1">
      <c r="B102" s="1" t="s">
        <v>191</v>
      </c>
    </row>
    <row r="103" spans="2:4" ht="18.75" hidden="1">
      <c r="B103" s="300"/>
    </row>
    <row r="104" spans="2:4" ht="18.75" hidden="1">
      <c r="B104" s="300" t="s">
        <v>188</v>
      </c>
    </row>
    <row r="105" spans="2:4" ht="18.75" hidden="1">
      <c r="B105" s="300" t="s">
        <v>189</v>
      </c>
    </row>
    <row r="106" spans="2:4" ht="18.75" hidden="1">
      <c r="B106" s="300"/>
    </row>
    <row r="107" spans="2:4" ht="18.75" hidden="1">
      <c r="B107" s="1" t="s">
        <v>190</v>
      </c>
    </row>
    <row r="110" spans="2:4" hidden="1"/>
    <row r="111" spans="2:4" hidden="1"/>
    <row r="112" spans="2:4" hidden="1">
      <c r="D112" s="299"/>
    </row>
    <row r="113" spans="2:15" ht="18.75" hidden="1">
      <c r="B113" s="240" t="s">
        <v>176</v>
      </c>
      <c r="D113" s="94"/>
      <c r="E113" s="20">
        <f>7619212/1000+71467/1000+137958/1000+637268371.61/1000+3332013/1000+141510.95/1000-3838.75/1000-4288.2/1000+1408965.27/1000+14698426/1000+24479967/1000+4836422.43/1000</f>
        <v>693986.18631000014</v>
      </c>
      <c r="J113" s="90"/>
    </row>
    <row r="114" spans="2:15" hidden="1">
      <c r="B114" s="2" t="s">
        <v>178</v>
      </c>
      <c r="E114" s="95">
        <f>383458528.59/1000</f>
        <v>383458.52859</v>
      </c>
    </row>
    <row r="115" spans="2:15" hidden="1">
      <c r="E115" s="20" t="e">
        <f>E113+I83+E114</f>
        <v>#REF!</v>
      </c>
    </row>
    <row r="116" spans="2:15" hidden="1">
      <c r="O116" s="83"/>
    </row>
    <row r="117" spans="2:15" hidden="1">
      <c r="E117" s="20">
        <f>805123583.72/1000+11125692.11/1000+12100447.7/1000+206086792.78/1000+281994855.47/1000+547922871.63/1000+177009.86/1000+18368970.75/1000+1688327003.91/1000</f>
        <v>3571227.2279300001</v>
      </c>
    </row>
    <row r="118" spans="2:15" hidden="1">
      <c r="E118" s="20" t="e">
        <f>E117-E115</f>
        <v>#REF!</v>
      </c>
    </row>
    <row r="119" spans="2:15" hidden="1"/>
  </sheetData>
  <mergeCells count="14">
    <mergeCell ref="B1:G1"/>
    <mergeCell ref="B12:B13"/>
    <mergeCell ref="C12:C13"/>
    <mergeCell ref="D12:E12"/>
    <mergeCell ref="F12:G12"/>
    <mergeCell ref="P12:Q12"/>
    <mergeCell ref="A85:A86"/>
    <mergeCell ref="B85:B86"/>
    <mergeCell ref="A8:G8"/>
    <mergeCell ref="A12:A13"/>
    <mergeCell ref="H12:I12"/>
    <mergeCell ref="J12:K12"/>
    <mergeCell ref="L12:M12"/>
    <mergeCell ref="N12:O12"/>
  </mergeCells>
  <pageMargins left="0.31496062992125984" right="0.31496062992125984" top="0.35433070866141736" bottom="0.74803149606299213" header="0.31496062992125984" footer="0.31496062992125984"/>
  <pageSetup paperSize="9" scale="65" fitToWidth="5" fitToHeight="2" orientation="portrait" r:id="rId1"/>
  <rowBreaks count="1" manualBreakCount="1">
    <brk id="57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20"/>
  <sheetViews>
    <sheetView view="pageBreakPreview" zoomScale="80" zoomScaleNormal="55" zoomScaleSheetLayoutView="80" workbookViewId="0">
      <pane xSplit="2" ySplit="18" topLeftCell="C85" activePane="bottomRight" state="frozen"/>
      <selection activeCell="C49" sqref="C49"/>
      <selection pane="topRight" activeCell="C49" sqref="C49"/>
      <selection pane="bottomLeft" activeCell="C49" sqref="C49"/>
      <selection pane="bottomRight" activeCell="A8" sqref="A8:G8"/>
    </sheetView>
  </sheetViews>
  <sheetFormatPr defaultRowHeight="15.75"/>
  <cols>
    <col min="1" max="1" width="7.42578125" style="18" customWidth="1"/>
    <col min="2" max="2" width="43.28515625" style="2" customWidth="1"/>
    <col min="3" max="3" width="14.7109375" style="19" customWidth="1"/>
    <col min="4" max="4" width="21.28515625" style="2" customWidth="1"/>
    <col min="5" max="5" width="19.140625" style="36" customWidth="1"/>
    <col min="6" max="6" width="16.7109375" style="24" customWidth="1"/>
    <col min="7" max="7" width="15.7109375" style="24" customWidth="1"/>
    <col min="8" max="8" width="18.140625" style="36" hidden="1" customWidth="1"/>
    <col min="9" max="9" width="21.42578125" style="36" hidden="1" customWidth="1"/>
    <col min="10" max="10" width="18.85546875" style="24" hidden="1" customWidth="1"/>
    <col min="11" max="11" width="16.7109375" style="24" hidden="1" customWidth="1"/>
    <col min="12" max="12" width="19.140625" hidden="1" customWidth="1"/>
    <col min="13" max="13" width="16.7109375" hidden="1" customWidth="1"/>
    <col min="14" max="14" width="18.28515625" hidden="1" customWidth="1"/>
    <col min="15" max="15" width="21.42578125" hidden="1" customWidth="1"/>
    <col min="16" max="16" width="18.85546875" style="24" hidden="1" customWidth="1"/>
    <col min="17" max="17" width="16.7109375" style="27" hidden="1" customWidth="1"/>
    <col min="18" max="18" width="18.28515625" hidden="1" customWidth="1"/>
    <col min="19" max="19" width="16" hidden="1" customWidth="1"/>
    <col min="20" max="20" width="13.140625" customWidth="1"/>
    <col min="21" max="21" width="9.140625" customWidth="1"/>
    <col min="22" max="22" width="12.140625" bestFit="1" customWidth="1"/>
  </cols>
  <sheetData>
    <row r="1" spans="1:19" ht="62.25" customHeight="1">
      <c r="B1" s="382" t="s">
        <v>192</v>
      </c>
      <c r="C1" s="382"/>
      <c r="D1" s="382"/>
      <c r="E1" s="382"/>
      <c r="F1" s="382"/>
      <c r="G1" s="382"/>
    </row>
    <row r="2" spans="1:19" ht="14.25" customHeight="1"/>
    <row r="3" spans="1:19" s="71" customFormat="1" ht="20.25" customHeight="1">
      <c r="A3" s="100"/>
      <c r="B3" s="100"/>
      <c r="C3" s="100"/>
      <c r="D3" s="100"/>
      <c r="E3" s="100"/>
      <c r="F3" s="130"/>
      <c r="G3" s="130"/>
      <c r="H3" s="1"/>
      <c r="I3" s="1"/>
      <c r="J3" s="78"/>
      <c r="K3" s="78"/>
      <c r="P3" s="78"/>
      <c r="Q3" s="80"/>
    </row>
    <row r="4" spans="1:19" s="71" customFormat="1" ht="18.75">
      <c r="A4" s="81" t="s">
        <v>181</v>
      </c>
      <c r="B4" s="1"/>
      <c r="C4" s="72"/>
      <c r="D4" s="1"/>
      <c r="E4" s="1"/>
      <c r="F4" s="78"/>
      <c r="G4" s="78"/>
      <c r="H4" s="1"/>
      <c r="I4" s="1"/>
      <c r="J4" s="78"/>
      <c r="K4" s="78"/>
      <c r="P4" s="78"/>
      <c r="Q4" s="80"/>
    </row>
    <row r="5" spans="1:19" s="71" customFormat="1" ht="18.75">
      <c r="A5" s="81" t="s">
        <v>164</v>
      </c>
      <c r="B5" s="1"/>
      <c r="C5" s="72"/>
      <c r="D5" s="1"/>
      <c r="E5" s="1"/>
      <c r="F5" s="78"/>
      <c r="G5" s="78"/>
      <c r="H5" s="1"/>
      <c r="I5" s="1"/>
      <c r="J5" s="78"/>
      <c r="K5" s="78"/>
      <c r="P5" s="78"/>
      <c r="Q5" s="80"/>
    </row>
    <row r="6" spans="1:19" s="71" customFormat="1" ht="18.75">
      <c r="A6" s="81" t="s">
        <v>182</v>
      </c>
      <c r="B6" s="1"/>
      <c r="C6" s="72"/>
      <c r="D6" s="1"/>
      <c r="E6" s="1"/>
      <c r="F6" s="78"/>
      <c r="G6" s="78"/>
      <c r="H6" s="1"/>
      <c r="I6" s="1"/>
      <c r="J6" s="78"/>
      <c r="K6" s="78"/>
      <c r="P6" s="78"/>
      <c r="Q6" s="80"/>
    </row>
    <row r="7" spans="1:19" s="71" customFormat="1" ht="18.75">
      <c r="A7" s="81" t="s">
        <v>165</v>
      </c>
      <c r="B7" s="1"/>
      <c r="C7" s="72"/>
      <c r="D7" s="1"/>
      <c r="E7" s="1"/>
      <c r="F7" s="78"/>
      <c r="G7" s="78"/>
      <c r="H7" s="1"/>
      <c r="I7" s="1"/>
      <c r="J7" s="78"/>
      <c r="K7" s="78"/>
      <c r="P7" s="78"/>
      <c r="Q7" s="80"/>
    </row>
    <row r="8" spans="1:19" s="71" customFormat="1" ht="39.75" customHeight="1">
      <c r="A8" s="373" t="s">
        <v>166</v>
      </c>
      <c r="B8" s="373"/>
      <c r="C8" s="373"/>
      <c r="D8" s="373"/>
      <c r="E8" s="373"/>
      <c r="F8" s="373"/>
      <c r="G8" s="373"/>
      <c r="H8" s="1"/>
      <c r="I8" s="1"/>
      <c r="J8" s="78"/>
      <c r="K8" s="78"/>
      <c r="P8" s="78"/>
      <c r="Q8" s="80"/>
    </row>
    <row r="9" spans="1:19" s="71" customFormat="1" ht="18.75">
      <c r="A9" s="81" t="s">
        <v>183</v>
      </c>
      <c r="B9" s="1"/>
      <c r="C9" s="1"/>
      <c r="D9" s="1"/>
      <c r="E9" s="1"/>
      <c r="F9" s="78"/>
      <c r="G9" s="78"/>
      <c r="H9" s="5"/>
      <c r="I9" s="5"/>
      <c r="J9" s="82"/>
      <c r="K9" s="82"/>
      <c r="P9" s="78"/>
      <c r="Q9" s="80"/>
    </row>
    <row r="10" spans="1:19" ht="23.25">
      <c r="A10" s="7"/>
      <c r="B10" s="6"/>
      <c r="C10" s="8"/>
      <c r="D10" s="6"/>
      <c r="E10" s="37"/>
      <c r="F10" s="25"/>
      <c r="G10" s="25"/>
      <c r="I10" s="37"/>
      <c r="J10" s="25"/>
      <c r="K10" s="25"/>
    </row>
    <row r="11" spans="1:19" ht="16.5" thickBot="1">
      <c r="I11" s="40"/>
    </row>
    <row r="12" spans="1:19" s="4" customFormat="1" ht="46.5" customHeight="1">
      <c r="A12" s="374" t="s">
        <v>1</v>
      </c>
      <c r="B12" s="383" t="s">
        <v>2</v>
      </c>
      <c r="C12" s="383" t="s">
        <v>131</v>
      </c>
      <c r="D12" s="388" t="s">
        <v>0</v>
      </c>
      <c r="E12" s="385"/>
      <c r="F12" s="386" t="s">
        <v>124</v>
      </c>
      <c r="G12" s="387"/>
      <c r="H12" s="376" t="s">
        <v>174</v>
      </c>
      <c r="I12" s="377"/>
      <c r="J12" s="378" t="s">
        <v>124</v>
      </c>
      <c r="K12" s="379"/>
      <c r="L12" s="380" t="s">
        <v>128</v>
      </c>
      <c r="M12" s="381"/>
      <c r="N12" s="376" t="s">
        <v>132</v>
      </c>
      <c r="O12" s="377"/>
      <c r="P12" s="369" t="s">
        <v>130</v>
      </c>
      <c r="Q12" s="370"/>
    </row>
    <row r="13" spans="1:19" s="79" customFormat="1" ht="73.5" customHeight="1" thickBot="1">
      <c r="A13" s="375"/>
      <c r="B13" s="384"/>
      <c r="C13" s="384"/>
      <c r="D13" s="184" t="s">
        <v>167</v>
      </c>
      <c r="E13" s="181" t="s">
        <v>168</v>
      </c>
      <c r="F13" s="182" t="s">
        <v>4</v>
      </c>
      <c r="G13" s="183" t="s">
        <v>109</v>
      </c>
      <c r="H13" s="184" t="s">
        <v>133</v>
      </c>
      <c r="I13" s="181" t="s">
        <v>168</v>
      </c>
      <c r="J13" s="182" t="s">
        <v>4</v>
      </c>
      <c r="K13" s="183" t="s">
        <v>109</v>
      </c>
      <c r="L13" s="184" t="s">
        <v>134</v>
      </c>
      <c r="M13" s="186" t="s">
        <v>163</v>
      </c>
      <c r="N13" s="184" t="s">
        <v>173</v>
      </c>
      <c r="O13" s="186" t="s">
        <v>163</v>
      </c>
      <c r="P13" s="182" t="s">
        <v>4</v>
      </c>
      <c r="Q13" s="185" t="s">
        <v>109</v>
      </c>
      <c r="S13" s="236"/>
    </row>
    <row r="14" spans="1:19" s="4" customFormat="1" hidden="1">
      <c r="A14" s="154"/>
      <c r="B14" s="166" t="s">
        <v>129</v>
      </c>
      <c r="C14" s="147"/>
      <c r="D14" s="42">
        <f>D88*D92</f>
        <v>981724.55</v>
      </c>
      <c r="E14" s="178" t="e">
        <f>#REF!-'снабжение тепла'!#REF!</f>
        <v>#REF!</v>
      </c>
      <c r="F14" s="179" t="e">
        <f>E14-D14</f>
        <v>#REF!</v>
      </c>
      <c r="G14" s="52" t="e">
        <f>E14/D14*100-100</f>
        <v>#REF!</v>
      </c>
      <c r="H14" s="180" t="e">
        <f>#REF!+D14+#REF!+#REF!+#REF!</f>
        <v>#REF!</v>
      </c>
      <c r="I14" s="178" t="e">
        <f>#REF!+E14+#REF!+#REF!+#REF!</f>
        <v>#REF!</v>
      </c>
      <c r="J14" s="179" t="e">
        <f>I14-H14</f>
        <v>#REF!</v>
      </c>
      <c r="K14" s="179" t="e">
        <f>I14/H14*100-100</f>
        <v>#REF!</v>
      </c>
      <c r="L14" s="180" t="e">
        <f>#REF!/1000</f>
        <v>#REF!</v>
      </c>
      <c r="M14" s="178" t="e">
        <f>#REF!</f>
        <v>#REF!</v>
      </c>
      <c r="N14" s="180" t="e">
        <f>H14+L14</f>
        <v>#REF!</v>
      </c>
      <c r="O14" s="178" t="e">
        <f>I14+M14</f>
        <v>#REF!</v>
      </c>
      <c r="P14" s="179" t="e">
        <f>O14-N14</f>
        <v>#REF!</v>
      </c>
      <c r="Q14" s="52" t="e">
        <f>O14/N14*100-100</f>
        <v>#REF!</v>
      </c>
    </row>
    <row r="15" spans="1:19" s="4" customFormat="1" hidden="1">
      <c r="A15" s="154"/>
      <c r="B15" s="166" t="s">
        <v>135</v>
      </c>
      <c r="C15" s="147"/>
      <c r="D15" s="195"/>
      <c r="E15" s="192" t="e">
        <f>#REF!*0.0031</f>
        <v>#REF!</v>
      </c>
      <c r="F15" s="193"/>
      <c r="G15" s="194"/>
      <c r="H15" s="195"/>
      <c r="I15" s="192" t="e">
        <f>#REF!+E15+#REF!+#REF!+#REF!</f>
        <v>#REF!</v>
      </c>
      <c r="J15" s="193"/>
      <c r="K15" s="193"/>
      <c r="L15" s="195"/>
      <c r="M15" s="192"/>
      <c r="N15" s="195"/>
      <c r="O15" s="192" t="e">
        <f>(4331924083+471097608)/1000-O14</f>
        <v>#REF!</v>
      </c>
      <c r="P15" s="193"/>
      <c r="Q15" s="194"/>
    </row>
    <row r="16" spans="1:19" s="4" customFormat="1" hidden="1">
      <c r="A16" s="155"/>
      <c r="B16" s="167" t="s">
        <v>136</v>
      </c>
      <c r="C16" s="148"/>
      <c r="D16" s="200">
        <v>978848.77862214018</v>
      </c>
      <c r="E16" s="197" t="e">
        <f>E14+E15</f>
        <v>#REF!</v>
      </c>
      <c r="F16" s="198" t="e">
        <f>E16-D16</f>
        <v>#REF!</v>
      </c>
      <c r="G16" s="201" t="e">
        <f>E16/D16*100-100</f>
        <v>#REF!</v>
      </c>
      <c r="H16" s="200" t="e">
        <f>H14+H15</f>
        <v>#REF!</v>
      </c>
      <c r="I16" s="197" t="e">
        <f>I14+I15</f>
        <v>#REF!</v>
      </c>
      <c r="J16" s="198" t="e">
        <f>I16-H16</f>
        <v>#REF!</v>
      </c>
      <c r="K16" s="198" t="e">
        <f>I16/H16*100-100</f>
        <v>#REF!</v>
      </c>
      <c r="L16" s="200" t="e">
        <f>L14+L15</f>
        <v>#REF!</v>
      </c>
      <c r="M16" s="197" t="e">
        <f>M14+M15</f>
        <v>#REF!</v>
      </c>
      <c r="N16" s="200" t="e">
        <f t="shared" ref="N16" si="0">N14+N15</f>
        <v>#REF!</v>
      </c>
      <c r="O16" s="197" t="e">
        <f>O14+O15</f>
        <v>#REF!</v>
      </c>
      <c r="P16" s="198" t="e">
        <f>O16-N16</f>
        <v>#REF!</v>
      </c>
      <c r="Q16" s="201" t="e">
        <f>O16/N16*100-100</f>
        <v>#REF!</v>
      </c>
    </row>
    <row r="17" spans="1:22" s="4" customFormat="1" hidden="1">
      <c r="A17" s="154"/>
      <c r="B17" s="147"/>
      <c r="C17" s="147"/>
      <c r="D17" s="205"/>
      <c r="E17" s="202"/>
      <c r="F17" s="203"/>
      <c r="G17" s="206"/>
      <c r="H17" s="205"/>
      <c r="I17" s="207"/>
      <c r="J17" s="208"/>
      <c r="K17" s="208"/>
      <c r="L17" s="209"/>
      <c r="M17" s="207"/>
      <c r="N17" s="209"/>
      <c r="O17" s="207"/>
      <c r="P17" s="208"/>
      <c r="Q17" s="210"/>
    </row>
    <row r="18" spans="1:22" s="4" customFormat="1" hidden="1">
      <c r="A18" s="154"/>
      <c r="B18" s="147"/>
      <c r="C18" s="147"/>
      <c r="D18" s="211"/>
      <c r="E18" s="202"/>
      <c r="F18" s="203"/>
      <c r="G18" s="206"/>
      <c r="H18" s="205"/>
      <c r="I18" s="207"/>
      <c r="J18" s="208"/>
      <c r="K18" s="208"/>
      <c r="L18" s="209"/>
      <c r="M18" s="207"/>
      <c r="N18" s="209"/>
      <c r="O18" s="207"/>
      <c r="P18" s="208"/>
      <c r="Q18" s="210"/>
    </row>
    <row r="19" spans="1:22" s="4" customFormat="1" ht="16.5" thickBot="1">
      <c r="A19" s="216"/>
      <c r="B19" s="217"/>
      <c r="C19" s="217"/>
      <c r="D19" s="269"/>
      <c r="E19" s="266"/>
      <c r="F19" s="267"/>
      <c r="G19" s="270"/>
      <c r="H19" s="271"/>
      <c r="I19" s="276"/>
      <c r="J19" s="182"/>
      <c r="K19" s="182"/>
      <c r="L19" s="184"/>
      <c r="M19" s="181"/>
      <c r="N19" s="184"/>
      <c r="O19" s="181"/>
      <c r="P19" s="182"/>
      <c r="Q19" s="185"/>
    </row>
    <row r="20" spans="1:22" ht="47.25">
      <c r="A20" s="156" t="s">
        <v>3</v>
      </c>
      <c r="B20" s="168" t="s">
        <v>137</v>
      </c>
      <c r="C20" s="253" t="s">
        <v>138</v>
      </c>
      <c r="D20" s="277">
        <v>1084946.44</v>
      </c>
      <c r="E20" s="277">
        <v>733408.19176815008</v>
      </c>
      <c r="F20" s="277">
        <v>-351538.24823184992</v>
      </c>
      <c r="G20" s="277">
        <v>-32.401438013092147</v>
      </c>
      <c r="H20" s="277" t="e">
        <f t="shared" ref="H20:I20" si="1">H21+H27+H32+H36+H33</f>
        <v>#REF!</v>
      </c>
      <c r="I20" s="277" t="e">
        <f t="shared" si="1"/>
        <v>#REF!</v>
      </c>
      <c r="J20" s="188" t="e">
        <f>I20-H20</f>
        <v>#REF!</v>
      </c>
      <c r="K20" s="188" t="e">
        <f>I20/H20*100-100</f>
        <v>#REF!</v>
      </c>
      <c r="L20" s="189">
        <f>L21+L27+L32+L36+L33</f>
        <v>256332.14</v>
      </c>
      <c r="M20" s="187">
        <f>M21+M27+M32+M36+M33</f>
        <v>704941.21</v>
      </c>
      <c r="N20" s="189" t="e">
        <f>N21+N27+N32+N36+N33</f>
        <v>#REF!</v>
      </c>
      <c r="O20" s="187" t="e">
        <f>O21+O27+O32+O36+O33</f>
        <v>#REF!</v>
      </c>
      <c r="P20" s="188" t="e">
        <f>O20-N20</f>
        <v>#REF!</v>
      </c>
      <c r="Q20" s="190" t="e">
        <f>O20/N20*100-100</f>
        <v>#REF!</v>
      </c>
      <c r="R20" s="241"/>
    </row>
    <row r="21" spans="1:22" ht="31.5">
      <c r="A21" s="157">
        <v>1</v>
      </c>
      <c r="B21" s="169" t="s">
        <v>139</v>
      </c>
      <c r="C21" s="254" t="s">
        <v>140</v>
      </c>
      <c r="D21" s="280">
        <v>329.39</v>
      </c>
      <c r="E21" s="280">
        <v>79.588369483000008</v>
      </c>
      <c r="F21" s="280">
        <v>-249.80163051699998</v>
      </c>
      <c r="G21" s="280">
        <v>-75.837648537296218</v>
      </c>
      <c r="H21" s="280" t="e">
        <f t="shared" ref="H21:I21" si="2">SUM(H22:H26)</f>
        <v>#REF!</v>
      </c>
      <c r="I21" s="280" t="e">
        <f t="shared" si="2"/>
        <v>#REF!</v>
      </c>
      <c r="J21" s="31" t="e">
        <f>I21-H21</f>
        <v>#REF!</v>
      </c>
      <c r="K21" s="31" t="e">
        <f>I21/H21*100-100</f>
        <v>#REF!</v>
      </c>
      <c r="L21" s="44">
        <f t="shared" ref="L21:O21" si="3">SUM(L22:L26)</f>
        <v>0</v>
      </c>
      <c r="M21" s="11">
        <f t="shared" si="3"/>
        <v>0</v>
      </c>
      <c r="N21" s="44" t="e">
        <f t="shared" si="3"/>
        <v>#REF!</v>
      </c>
      <c r="O21" s="11" t="e">
        <f t="shared" si="3"/>
        <v>#REF!</v>
      </c>
      <c r="P21" s="31" t="e">
        <f>O21-N21</f>
        <v>#REF!</v>
      </c>
      <c r="Q21" s="61" t="e">
        <f>O21/N21*100-100</f>
        <v>#REF!</v>
      </c>
      <c r="R21" s="241"/>
    </row>
    <row r="22" spans="1:22" s="3" customFormat="1" hidden="1">
      <c r="A22" s="158" t="s">
        <v>64</v>
      </c>
      <c r="B22" s="170" t="s">
        <v>5</v>
      </c>
      <c r="C22" s="255" t="s">
        <v>140</v>
      </c>
      <c r="D22" s="283"/>
      <c r="E22" s="283"/>
      <c r="F22" s="252"/>
      <c r="G22" s="252"/>
      <c r="H22" s="283" t="e">
        <f>#REF!+D22+#REF!+#REF!+#REF!</f>
        <v>#REF!</v>
      </c>
      <c r="I22" s="283" t="e">
        <f>#REF!+E22+#REF!+#REF!+#REF!</f>
        <v>#REF!</v>
      </c>
      <c r="J22" s="21" t="e">
        <f>I22-H22</f>
        <v>#REF!</v>
      </c>
      <c r="K22" s="21" t="e">
        <f>I22/H22*100-100</f>
        <v>#REF!</v>
      </c>
      <c r="L22" s="53"/>
      <c r="M22" s="9"/>
      <c r="N22" s="53" t="e">
        <f>H22+L22</f>
        <v>#REF!</v>
      </c>
      <c r="O22" s="9" t="e">
        <f>#REF!+E22+#REF!+#REF!+#REF!+M22</f>
        <v>#REF!</v>
      </c>
      <c r="P22" s="21" t="e">
        <f>O22-N22</f>
        <v>#REF!</v>
      </c>
      <c r="Q22" s="54" t="e">
        <f>O22/N22*100-100</f>
        <v>#REF!</v>
      </c>
      <c r="R22" s="242"/>
      <c r="S22" s="96"/>
      <c r="T22" s="96"/>
    </row>
    <row r="23" spans="1:22" s="3" customFormat="1" hidden="1">
      <c r="A23" s="158" t="s">
        <v>65</v>
      </c>
      <c r="B23" s="170" t="s">
        <v>141</v>
      </c>
      <c r="C23" s="255" t="s">
        <v>140</v>
      </c>
      <c r="D23" s="283"/>
      <c r="E23" s="283"/>
      <c r="F23" s="252"/>
      <c r="G23" s="252"/>
      <c r="H23" s="283"/>
      <c r="I23" s="283"/>
      <c r="J23" s="21"/>
      <c r="K23" s="21"/>
      <c r="L23" s="53"/>
      <c r="M23" s="9"/>
      <c r="N23" s="53">
        <f>H23+L23</f>
        <v>0</v>
      </c>
      <c r="O23" s="9">
        <f>SUM(H23:M23)</f>
        <v>0</v>
      </c>
      <c r="P23" s="21"/>
      <c r="Q23" s="54"/>
      <c r="R23" s="243"/>
    </row>
    <row r="24" spans="1:22" s="3" customFormat="1">
      <c r="A24" s="158" t="s">
        <v>64</v>
      </c>
      <c r="B24" s="170" t="s">
        <v>142</v>
      </c>
      <c r="C24" s="255" t="s">
        <v>140</v>
      </c>
      <c r="D24" s="283">
        <v>229.87</v>
      </c>
      <c r="E24" s="283">
        <v>6.252039482999999</v>
      </c>
      <c r="F24" s="252">
        <v>-223.617960517</v>
      </c>
      <c r="G24" s="252">
        <v>-97.28018467699134</v>
      </c>
      <c r="H24" s="283" t="e">
        <f>#REF!+D24+#REF!+#REF!+#REF!</f>
        <v>#REF!</v>
      </c>
      <c r="I24" s="283" t="e">
        <f>#REF!+E24+#REF!+#REF!+#REF!</f>
        <v>#REF!</v>
      </c>
      <c r="J24" s="21" t="e">
        <f>I24-H24</f>
        <v>#REF!</v>
      </c>
      <c r="K24" s="21" t="e">
        <f>I24/H24*100-100</f>
        <v>#REF!</v>
      </c>
      <c r="L24" s="53"/>
      <c r="M24" s="9"/>
      <c r="N24" s="53" t="e">
        <f>H24+L24</f>
        <v>#REF!</v>
      </c>
      <c r="O24" s="9" t="e">
        <f>#REF!+E24+#REF!+#REF!+#REF!+M24</f>
        <v>#REF!</v>
      </c>
      <c r="P24" s="21" t="e">
        <f>O24-N24</f>
        <v>#REF!</v>
      </c>
      <c r="Q24" s="54" t="e">
        <f>O24/N24*100-100</f>
        <v>#REF!</v>
      </c>
      <c r="R24" s="242">
        <v>1648.9552099999999</v>
      </c>
      <c r="S24" s="96" t="e">
        <f>I24-R24</f>
        <v>#REF!</v>
      </c>
      <c r="T24" s="96"/>
    </row>
    <row r="25" spans="1:22" s="3" customFormat="1" hidden="1">
      <c r="A25" s="158" t="s">
        <v>67</v>
      </c>
      <c r="B25" s="170" t="s">
        <v>143</v>
      </c>
      <c r="C25" s="255" t="s">
        <v>140</v>
      </c>
      <c r="D25" s="283"/>
      <c r="E25" s="283"/>
      <c r="F25" s="252"/>
      <c r="G25" s="252"/>
      <c r="H25" s="283"/>
      <c r="I25" s="283"/>
      <c r="J25" s="21"/>
      <c r="K25" s="21"/>
      <c r="L25" s="53"/>
      <c r="M25" s="9"/>
      <c r="N25" s="53">
        <f>H25+L25</f>
        <v>0</v>
      </c>
      <c r="O25" s="9">
        <f>SUM(H25:M25)</f>
        <v>0</v>
      </c>
      <c r="P25" s="21"/>
      <c r="Q25" s="54"/>
      <c r="R25" s="242"/>
    </row>
    <row r="26" spans="1:22" s="3" customFormat="1">
      <c r="A26" s="158" t="s">
        <v>65</v>
      </c>
      <c r="B26" s="170" t="s">
        <v>6</v>
      </c>
      <c r="C26" s="255" t="s">
        <v>140</v>
      </c>
      <c r="D26" s="283">
        <v>99.52</v>
      </c>
      <c r="E26" s="283">
        <v>73.336330000000004</v>
      </c>
      <c r="F26" s="252">
        <v>-26.183669999999992</v>
      </c>
      <c r="G26" s="252">
        <v>-26.309957797427643</v>
      </c>
      <c r="H26" s="283" t="e">
        <f>#REF!+D26+#REF!+#REF!+#REF!</f>
        <v>#REF!</v>
      </c>
      <c r="I26" s="283" t="e">
        <f>#REF!+E26+#REF!+#REF!+#REF!</f>
        <v>#REF!</v>
      </c>
      <c r="J26" s="21" t="e">
        <f>I26-H26</f>
        <v>#REF!</v>
      </c>
      <c r="K26" s="21" t="e">
        <f>I26/H26*100-100</f>
        <v>#REF!</v>
      </c>
      <c r="L26" s="53"/>
      <c r="M26" s="87"/>
      <c r="N26" s="53" t="e">
        <f>H26+L26</f>
        <v>#REF!</v>
      </c>
      <c r="O26" s="9" t="e">
        <f>#REF!+E26+#REF!+#REF!+#REF!+M26</f>
        <v>#REF!</v>
      </c>
      <c r="P26" s="21" t="e">
        <f>O26-N26</f>
        <v>#REF!</v>
      </c>
      <c r="Q26" s="54" t="e">
        <f>O26/N26*100-100</f>
        <v>#REF!</v>
      </c>
      <c r="R26" s="242"/>
      <c r="S26" s="235"/>
      <c r="T26" s="96"/>
      <c r="V26" s="96"/>
    </row>
    <row r="27" spans="1:22" ht="31.5">
      <c r="A27" s="157">
        <v>2</v>
      </c>
      <c r="B27" s="169" t="s">
        <v>144</v>
      </c>
      <c r="C27" s="254" t="s">
        <v>140</v>
      </c>
      <c r="D27" s="280">
        <v>45955.73</v>
      </c>
      <c r="E27" s="280">
        <v>10504.750320000001</v>
      </c>
      <c r="F27" s="280">
        <v>-35450.979679999997</v>
      </c>
      <c r="G27" s="280">
        <v>-77.14158752347096</v>
      </c>
      <c r="H27" s="280" t="e">
        <f t="shared" ref="H27" si="4">H28+H29+H30+H31</f>
        <v>#REF!</v>
      </c>
      <c r="I27" s="280" t="e">
        <f>I28+I29+I30+I31</f>
        <v>#REF!</v>
      </c>
      <c r="J27" s="31" t="e">
        <f>I27-H27</f>
        <v>#REF!</v>
      </c>
      <c r="K27" s="31" t="e">
        <f>I27/H27*100-100</f>
        <v>#REF!</v>
      </c>
      <c r="L27" s="44"/>
      <c r="M27" s="11"/>
      <c r="N27" s="44" t="e">
        <f>SUM(N28:N29)</f>
        <v>#REF!</v>
      </c>
      <c r="O27" s="11" t="e">
        <f>SUM(O28:O29)</f>
        <v>#REF!</v>
      </c>
      <c r="P27" s="31" t="e">
        <f>O27-N27</f>
        <v>#REF!</v>
      </c>
      <c r="Q27" s="61" t="e">
        <f>O27/N27*100-100</f>
        <v>#REF!</v>
      </c>
      <c r="R27" s="242">
        <v>0</v>
      </c>
      <c r="S27" s="83"/>
      <c r="T27" s="83"/>
    </row>
    <row r="28" spans="1:22" ht="31.5">
      <c r="A28" s="302" t="s">
        <v>69</v>
      </c>
      <c r="B28" s="171" t="s">
        <v>7</v>
      </c>
      <c r="C28" s="256" t="s">
        <v>140</v>
      </c>
      <c r="D28" s="283">
        <v>42336</v>
      </c>
      <c r="E28" s="283">
        <v>9432.4150000000009</v>
      </c>
      <c r="F28" s="252">
        <v>-32903.584999999999</v>
      </c>
      <c r="G28" s="252">
        <v>-77.720108182161752</v>
      </c>
      <c r="H28" s="283" t="e">
        <f>#REF!+D28+#REF!+#REF!+#REF!</f>
        <v>#REF!</v>
      </c>
      <c r="I28" s="283" t="e">
        <f>#REF!+E28+#REF!+#REF!+#REF!</f>
        <v>#REF!</v>
      </c>
      <c r="J28" s="21" t="e">
        <f>I28-H28</f>
        <v>#REF!</v>
      </c>
      <c r="K28" s="21" t="e">
        <f>I28/H28*100-100</f>
        <v>#REF!</v>
      </c>
      <c r="L28" s="53"/>
      <c r="M28" s="9"/>
      <c r="N28" s="53" t="e">
        <f>H28+L28</f>
        <v>#REF!</v>
      </c>
      <c r="O28" s="9" t="e">
        <f>#REF!+E28+#REF!+#REF!+#REF!+M28</f>
        <v>#REF!</v>
      </c>
      <c r="P28" s="21" t="e">
        <f>O28-N28</f>
        <v>#REF!</v>
      </c>
      <c r="Q28" s="54" t="e">
        <f>O28/N28*100-100</f>
        <v>#REF!</v>
      </c>
      <c r="R28" s="242"/>
      <c r="S28" s="83"/>
      <c r="T28" s="83"/>
    </row>
    <row r="29" spans="1:22">
      <c r="A29" s="302" t="s">
        <v>70</v>
      </c>
      <c r="B29" s="171" t="s">
        <v>170</v>
      </c>
      <c r="C29" s="256" t="s">
        <v>140</v>
      </c>
      <c r="D29" s="283">
        <v>3619.73</v>
      </c>
      <c r="E29" s="283">
        <v>789.35864000000004</v>
      </c>
      <c r="F29" s="252">
        <v>-2830.3713600000001</v>
      </c>
      <c r="G29" s="252">
        <v>-78.192886209744927</v>
      </c>
      <c r="H29" s="283" t="e">
        <f>#REF!+D29+#REF!+#REF!+#REF!</f>
        <v>#REF!</v>
      </c>
      <c r="I29" s="283" t="e">
        <f>#REF!+E29+#REF!+#REF!+#REF!</f>
        <v>#REF!</v>
      </c>
      <c r="J29" s="21" t="e">
        <f>I29-H29</f>
        <v>#REF!</v>
      </c>
      <c r="K29" s="21" t="e">
        <f>I29/H29*100-100</f>
        <v>#REF!</v>
      </c>
      <c r="L29" s="53"/>
      <c r="M29" s="9"/>
      <c r="N29" s="53" t="e">
        <f>H29+L29</f>
        <v>#REF!</v>
      </c>
      <c r="O29" s="9" t="e">
        <f>#REF!+E29+#REF!+#REF!+#REF!+M29</f>
        <v>#REF!</v>
      </c>
      <c r="P29" s="21" t="e">
        <f>O29-N29</f>
        <v>#REF!</v>
      </c>
      <c r="Q29" s="54" t="e">
        <f>O29/N29*100-100</f>
        <v>#REF!</v>
      </c>
      <c r="R29" s="242"/>
      <c r="S29" s="83"/>
      <c r="T29" s="83"/>
    </row>
    <row r="30" spans="1:22">
      <c r="A30" s="302" t="s">
        <v>179</v>
      </c>
      <c r="B30" s="251" t="s">
        <v>177</v>
      </c>
      <c r="C30" s="256"/>
      <c r="D30" s="283"/>
      <c r="E30" s="283"/>
      <c r="F30" s="252">
        <v>0</v>
      </c>
      <c r="G30" s="252"/>
      <c r="H30" s="283"/>
      <c r="I30" s="283" t="e">
        <f>#REF!+E30+#REF!+#REF!+#REF!</f>
        <v>#REF!</v>
      </c>
      <c r="J30" s="247"/>
      <c r="K30" s="247"/>
      <c r="L30" s="249"/>
      <c r="M30" s="250"/>
      <c r="N30" s="249"/>
      <c r="O30" s="250"/>
      <c r="P30" s="247"/>
      <c r="Q30" s="248"/>
      <c r="R30" s="242"/>
      <c r="S30" s="83"/>
      <c r="T30" s="83"/>
    </row>
    <row r="31" spans="1:22">
      <c r="A31" s="302" t="s">
        <v>180</v>
      </c>
      <c r="B31" s="171" t="s">
        <v>169</v>
      </c>
      <c r="C31" s="256"/>
      <c r="D31" s="283"/>
      <c r="E31" s="283">
        <v>282.97667999999999</v>
      </c>
      <c r="F31" s="252">
        <v>282.97667999999999</v>
      </c>
      <c r="G31" s="252"/>
      <c r="H31" s="283"/>
      <c r="I31" s="283" t="e">
        <f>#REF!+E31+#REF!+#REF!+#REF!</f>
        <v>#REF!</v>
      </c>
      <c r="J31" s="92"/>
      <c r="K31" s="92"/>
      <c r="L31" s="91"/>
      <c r="M31" s="86"/>
      <c r="N31" s="91"/>
      <c r="O31" s="9" t="e">
        <f>#REF!+E31+#REF!+#REF!+#REF!+M31</f>
        <v>#REF!</v>
      </c>
      <c r="P31" s="92"/>
      <c r="Q31" s="93"/>
      <c r="R31" s="242"/>
      <c r="S31" s="83"/>
      <c r="T31" s="84"/>
    </row>
    <row r="32" spans="1:22">
      <c r="A32" s="157">
        <v>3</v>
      </c>
      <c r="B32" s="169" t="s">
        <v>8</v>
      </c>
      <c r="C32" s="257" t="s">
        <v>140</v>
      </c>
      <c r="D32" s="280">
        <v>138.41999999999999</v>
      </c>
      <c r="E32" s="280">
        <v>2848.6405673999998</v>
      </c>
      <c r="F32" s="280">
        <v>2710.2205673999997</v>
      </c>
      <c r="G32" s="280">
        <v>1957.9689115734718</v>
      </c>
      <c r="H32" s="280" t="e">
        <f>#REF!+D32+#REF!+#REF!+#REF!</f>
        <v>#REF!</v>
      </c>
      <c r="I32" s="280" t="e">
        <f>#REF!+E32+#REF!+#REF!+#REF!</f>
        <v>#REF!</v>
      </c>
      <c r="J32" s="31" t="e">
        <f>I32-H32</f>
        <v>#REF!</v>
      </c>
      <c r="K32" s="31" t="e">
        <f>I32/H32*100-100</f>
        <v>#REF!</v>
      </c>
      <c r="L32" s="44"/>
      <c r="M32" s="11"/>
      <c r="N32" s="44" t="e">
        <f>H32+L32</f>
        <v>#REF!</v>
      </c>
      <c r="O32" s="11" t="e">
        <f>#REF!+E32+#REF!+#REF!+#REF!+M32</f>
        <v>#REF!</v>
      </c>
      <c r="P32" s="31" t="e">
        <f>O32-N32</f>
        <v>#REF!</v>
      </c>
      <c r="Q32" s="61" t="e">
        <f>O32/N32*100-100</f>
        <v>#REF!</v>
      </c>
      <c r="R32" s="242"/>
      <c r="S32" s="83"/>
    </row>
    <row r="33" spans="1:20">
      <c r="A33" s="157">
        <v>4</v>
      </c>
      <c r="B33" s="169" t="s">
        <v>145</v>
      </c>
      <c r="C33" s="257"/>
      <c r="D33" s="280">
        <v>0</v>
      </c>
      <c r="E33" s="280">
        <v>0</v>
      </c>
      <c r="F33" s="280">
        <v>0</v>
      </c>
      <c r="G33" s="280"/>
      <c r="H33" s="280" t="e">
        <f t="shared" ref="H33:I33" si="5">H34</f>
        <v>#REF!</v>
      </c>
      <c r="I33" s="280" t="e">
        <f t="shared" si="5"/>
        <v>#REF!</v>
      </c>
      <c r="J33" s="31" t="e">
        <f>I33-H33</f>
        <v>#REF!</v>
      </c>
      <c r="K33" s="31" t="e">
        <f>I33/H33*100-100</f>
        <v>#REF!</v>
      </c>
      <c r="L33" s="44"/>
      <c r="M33" s="11"/>
      <c r="N33" s="44" t="e">
        <f>N35+N34</f>
        <v>#REF!</v>
      </c>
      <c r="O33" s="11" t="e">
        <f>O35+O34</f>
        <v>#REF!</v>
      </c>
      <c r="P33" s="31" t="e">
        <f>O33-N33</f>
        <v>#REF!</v>
      </c>
      <c r="Q33" s="61" t="e">
        <f>O33/N33*100-100</f>
        <v>#REF!</v>
      </c>
      <c r="R33" s="242">
        <v>0</v>
      </c>
    </row>
    <row r="34" spans="1:20" s="3" customFormat="1" ht="31.5" customHeight="1">
      <c r="A34" s="158" t="s">
        <v>71</v>
      </c>
      <c r="B34" s="170" t="s">
        <v>146</v>
      </c>
      <c r="C34" s="258" t="s">
        <v>140</v>
      </c>
      <c r="D34" s="283"/>
      <c r="E34" s="283"/>
      <c r="F34" s="252"/>
      <c r="G34" s="252"/>
      <c r="H34" s="283" t="e">
        <f>#REF!+D34+#REF!+#REF!+#REF!</f>
        <v>#REF!</v>
      </c>
      <c r="I34" s="284" t="e">
        <f>#REF!+E34+#REF!+#REF!+#REF!</f>
        <v>#REF!</v>
      </c>
      <c r="J34" s="21" t="e">
        <f>I34-H34</f>
        <v>#REF!</v>
      </c>
      <c r="K34" s="21" t="e">
        <f>I34/H34*100-100</f>
        <v>#REF!</v>
      </c>
      <c r="L34" s="53"/>
      <c r="M34" s="9"/>
      <c r="N34" s="53" t="e">
        <f>H34+L34</f>
        <v>#REF!</v>
      </c>
      <c r="O34" s="9" t="e">
        <f>#REF!+E34+#REF!+#REF!+#REF!+M34</f>
        <v>#REF!</v>
      </c>
      <c r="P34" s="21" t="e">
        <f>O34-N34</f>
        <v>#REF!</v>
      </c>
      <c r="Q34" s="54" t="e">
        <f>O34/N34*100-100</f>
        <v>#REF!</v>
      </c>
      <c r="R34" s="242"/>
      <c r="S34"/>
      <c r="T34" s="96"/>
    </row>
    <row r="35" spans="1:20">
      <c r="A35" s="302"/>
      <c r="B35" s="171"/>
      <c r="C35" s="259"/>
      <c r="D35" s="283"/>
      <c r="E35" s="283"/>
      <c r="F35" s="252"/>
      <c r="G35" s="252"/>
      <c r="H35" s="283"/>
      <c r="I35" s="283"/>
      <c r="J35" s="21"/>
      <c r="K35" s="21"/>
      <c r="L35" s="53"/>
      <c r="M35" s="9"/>
      <c r="N35" s="53"/>
      <c r="O35" s="9"/>
      <c r="P35" s="21"/>
      <c r="Q35" s="54"/>
      <c r="R35" s="242"/>
    </row>
    <row r="36" spans="1:20">
      <c r="A36" s="157" t="s">
        <v>147</v>
      </c>
      <c r="B36" s="169" t="s">
        <v>9</v>
      </c>
      <c r="C36" s="257" t="s">
        <v>140</v>
      </c>
      <c r="D36" s="280">
        <v>1038522.9</v>
      </c>
      <c r="E36" s="280">
        <v>719975.21251126705</v>
      </c>
      <c r="F36" s="280">
        <v>-318547.68748873292</v>
      </c>
      <c r="G36" s="280">
        <v>-30.673150056559464</v>
      </c>
      <c r="H36" s="280" t="e">
        <f t="shared" ref="H36:I36" si="6">SUM(H37:H46)</f>
        <v>#REF!</v>
      </c>
      <c r="I36" s="280" t="e">
        <f t="shared" si="6"/>
        <v>#REF!</v>
      </c>
      <c r="J36" s="31" t="e">
        <f t="shared" ref="J36:J44" si="7">I36-H36</f>
        <v>#REF!</v>
      </c>
      <c r="K36" s="31" t="e">
        <f t="shared" ref="K36:K54" si="8">I36/H36*100-100</f>
        <v>#REF!</v>
      </c>
      <c r="L36" s="44">
        <f>L44</f>
        <v>256332.14</v>
      </c>
      <c r="M36" s="11">
        <f>SUM(M37:M46)</f>
        <v>704941.21</v>
      </c>
      <c r="N36" s="44" t="e">
        <f>SUM(N37:N46)</f>
        <v>#REF!</v>
      </c>
      <c r="O36" s="11" t="e">
        <f>SUM(O37:O46)</f>
        <v>#REF!</v>
      </c>
      <c r="P36" s="31" t="e">
        <f t="shared" ref="P36:P44" si="9">O36-N36</f>
        <v>#REF!</v>
      </c>
      <c r="Q36" s="61" t="e">
        <f t="shared" ref="Q36:Q44" si="10">O36/N36*100-100</f>
        <v>#REF!</v>
      </c>
      <c r="R36" s="242"/>
    </row>
    <row r="37" spans="1:20" s="3" customFormat="1">
      <c r="A37" s="158" t="s">
        <v>115</v>
      </c>
      <c r="B37" s="172" t="s">
        <v>11</v>
      </c>
      <c r="C37" s="258" t="s">
        <v>140</v>
      </c>
      <c r="D37" s="283">
        <v>0</v>
      </c>
      <c r="E37" s="283"/>
      <c r="F37" s="252">
        <v>0</v>
      </c>
      <c r="G37" s="252"/>
      <c r="H37" s="283" t="e">
        <f>#REF!+D37+#REF!+#REF!+#REF!</f>
        <v>#REF!</v>
      </c>
      <c r="I37" s="286" t="e">
        <f>#REF!+E37+#REF!+#REF!+#REF!</f>
        <v>#REF!</v>
      </c>
      <c r="J37" s="41" t="e">
        <f t="shared" si="7"/>
        <v>#REF!</v>
      </c>
      <c r="K37" s="41" t="e">
        <f t="shared" si="8"/>
        <v>#REF!</v>
      </c>
      <c r="L37" s="67"/>
      <c r="M37" s="12"/>
      <c r="N37" s="53" t="e">
        <f t="shared" ref="N37:N42" si="11">H37+L37</f>
        <v>#REF!</v>
      </c>
      <c r="O37" s="9" t="e">
        <f>#REF!+E37+#REF!+#REF!+#REF!+M37</f>
        <v>#REF!</v>
      </c>
      <c r="P37" s="21" t="e">
        <f t="shared" si="9"/>
        <v>#REF!</v>
      </c>
      <c r="Q37" s="54" t="e">
        <f t="shared" si="10"/>
        <v>#REF!</v>
      </c>
      <c r="R37" s="242"/>
      <c r="S37"/>
    </row>
    <row r="38" spans="1:20" s="3" customFormat="1">
      <c r="A38" s="158" t="s">
        <v>116</v>
      </c>
      <c r="B38" s="172" t="s">
        <v>12</v>
      </c>
      <c r="C38" s="258" t="s">
        <v>140</v>
      </c>
      <c r="D38" s="283">
        <v>27.16</v>
      </c>
      <c r="E38" s="283">
        <v>7.3469999999999995</v>
      </c>
      <c r="F38" s="252">
        <v>-19.813000000000002</v>
      </c>
      <c r="G38" s="252">
        <v>-72.949189985272454</v>
      </c>
      <c r="H38" s="283" t="e">
        <f>#REF!+D38+#REF!+#REF!+#REF!</f>
        <v>#REF!</v>
      </c>
      <c r="I38" s="286" t="e">
        <f>#REF!+E38+#REF!+#REF!+#REF!</f>
        <v>#REF!</v>
      </c>
      <c r="J38" s="41" t="e">
        <f t="shared" si="7"/>
        <v>#REF!</v>
      </c>
      <c r="K38" s="131" t="e">
        <f>I38/H38*100-100</f>
        <v>#REF!</v>
      </c>
      <c r="L38" s="67"/>
      <c r="M38" s="12"/>
      <c r="N38" s="53" t="e">
        <f t="shared" si="11"/>
        <v>#REF!</v>
      </c>
      <c r="O38" s="9" t="e">
        <f>#REF!+E38+#REF!+#REF!+#REF!+M38</f>
        <v>#REF!</v>
      </c>
      <c r="P38" s="21" t="e">
        <f t="shared" si="9"/>
        <v>#REF!</v>
      </c>
      <c r="Q38" s="54" t="e">
        <f t="shared" si="10"/>
        <v>#REF!</v>
      </c>
      <c r="R38" s="242">
        <v>2370</v>
      </c>
      <c r="S38" s="96" t="e">
        <f>I38-R38</f>
        <v>#REF!</v>
      </c>
    </row>
    <row r="39" spans="1:20" s="3" customFormat="1">
      <c r="A39" s="158" t="s">
        <v>72</v>
      </c>
      <c r="B39" s="172" t="s">
        <v>13</v>
      </c>
      <c r="C39" s="258" t="s">
        <v>140</v>
      </c>
      <c r="D39" s="283">
        <v>35.83</v>
      </c>
      <c r="E39" s="283">
        <v>31.077970000000001</v>
      </c>
      <c r="F39" s="252">
        <v>-4.7520299999999978</v>
      </c>
      <c r="G39" s="252">
        <v>-13.262712810493994</v>
      </c>
      <c r="H39" s="283" t="e">
        <f>#REF!+D39+#REF!+#REF!+#REF!</f>
        <v>#REF!</v>
      </c>
      <c r="I39" s="286" t="e">
        <f>#REF!+E39+#REF!+#REF!+#REF!</f>
        <v>#REF!</v>
      </c>
      <c r="J39" s="41" t="e">
        <f t="shared" si="7"/>
        <v>#REF!</v>
      </c>
      <c r="K39" s="131" t="e">
        <f t="shared" ref="K39" si="12">I39/H39*100-100</f>
        <v>#REF!</v>
      </c>
      <c r="L39" s="67"/>
      <c r="M39" s="12"/>
      <c r="N39" s="53" t="e">
        <f t="shared" si="11"/>
        <v>#REF!</v>
      </c>
      <c r="O39" s="9" t="e">
        <f>#REF!+E39+#REF!+#REF!+#REF!+M39</f>
        <v>#REF!</v>
      </c>
      <c r="P39" s="21" t="e">
        <f t="shared" si="9"/>
        <v>#REF!</v>
      </c>
      <c r="Q39" s="54" t="e">
        <f t="shared" si="10"/>
        <v>#REF!</v>
      </c>
      <c r="R39" s="242"/>
      <c r="S39" s="96"/>
    </row>
    <row r="40" spans="1:20" s="3" customFormat="1" ht="15" customHeight="1">
      <c r="A40" s="158" t="s">
        <v>73</v>
      </c>
      <c r="B40" s="172" t="s">
        <v>14</v>
      </c>
      <c r="C40" s="258" t="s">
        <v>140</v>
      </c>
      <c r="D40" s="283">
        <v>9.7899999999999991</v>
      </c>
      <c r="E40" s="283">
        <v>84.845108495000005</v>
      </c>
      <c r="F40" s="252">
        <v>75.055108495000013</v>
      </c>
      <c r="G40" s="252">
        <v>766.65075071501542</v>
      </c>
      <c r="H40" s="283" t="e">
        <f>#REF!+D40+#REF!+#REF!+#REF!</f>
        <v>#REF!</v>
      </c>
      <c r="I40" s="286" t="e">
        <f>#REF!+E40+#REF!+#REF!+#REF!</f>
        <v>#REF!</v>
      </c>
      <c r="J40" s="41" t="e">
        <f t="shared" si="7"/>
        <v>#REF!</v>
      </c>
      <c r="K40" s="131" t="e">
        <f>I40/H40*100-100</f>
        <v>#REF!</v>
      </c>
      <c r="L40" s="67"/>
      <c r="M40" s="12"/>
      <c r="N40" s="53" t="e">
        <f t="shared" si="11"/>
        <v>#REF!</v>
      </c>
      <c r="O40" s="9" t="e">
        <f>#REF!+E40+#REF!+#REF!+#REF!+M40</f>
        <v>#REF!</v>
      </c>
      <c r="P40" s="21" t="e">
        <f t="shared" si="9"/>
        <v>#REF!</v>
      </c>
      <c r="Q40" s="54" t="e">
        <f t="shared" si="10"/>
        <v>#REF!</v>
      </c>
      <c r="R40" s="242">
        <v>20.622259999999997</v>
      </c>
      <c r="S40" s="96" t="e">
        <f t="shared" ref="S40:S41" si="13">I40-R40</f>
        <v>#REF!</v>
      </c>
    </row>
    <row r="41" spans="1:20" s="3" customFormat="1">
      <c r="A41" s="158" t="s">
        <v>74</v>
      </c>
      <c r="B41" s="172" t="s">
        <v>15</v>
      </c>
      <c r="C41" s="258" t="s">
        <v>140</v>
      </c>
      <c r="D41" s="283">
        <v>8.51</v>
      </c>
      <c r="E41" s="283">
        <v>2.443432772</v>
      </c>
      <c r="F41" s="252">
        <v>-6.0665672280000003</v>
      </c>
      <c r="G41" s="252">
        <v>-71.287511492361929</v>
      </c>
      <c r="H41" s="283" t="e">
        <f>#REF!+D41+#REF!+#REF!+#REF!</f>
        <v>#REF!</v>
      </c>
      <c r="I41" s="286" t="e">
        <f>#REF!+E41+#REF!+#REF!+#REF!</f>
        <v>#REF!</v>
      </c>
      <c r="J41" s="41" t="e">
        <f t="shared" si="7"/>
        <v>#REF!</v>
      </c>
      <c r="K41" s="131" t="e">
        <f>I41/H41*100-100</f>
        <v>#REF!</v>
      </c>
      <c r="L41" s="67"/>
      <c r="M41" s="12"/>
      <c r="N41" s="53" t="e">
        <f t="shared" si="11"/>
        <v>#REF!</v>
      </c>
      <c r="O41" s="9" t="e">
        <f>#REF!+E41+#REF!+#REF!+#REF!+M41</f>
        <v>#REF!</v>
      </c>
      <c r="P41" s="21" t="e">
        <f t="shared" si="9"/>
        <v>#REF!</v>
      </c>
      <c r="Q41" s="54" t="e">
        <f t="shared" si="10"/>
        <v>#REF!</v>
      </c>
      <c r="R41" s="242">
        <v>788.20411999999999</v>
      </c>
      <c r="S41" s="96" t="e">
        <f t="shared" si="13"/>
        <v>#REF!</v>
      </c>
    </row>
    <row r="42" spans="1:20" s="3" customFormat="1" ht="47.25" hidden="1">
      <c r="A42" s="158" t="s">
        <v>117</v>
      </c>
      <c r="B42" s="172" t="s">
        <v>118</v>
      </c>
      <c r="C42" s="258" t="s">
        <v>140</v>
      </c>
      <c r="D42" s="283"/>
      <c r="E42" s="283"/>
      <c r="F42" s="252">
        <v>0</v>
      </c>
      <c r="G42" s="252" t="e">
        <v>#DIV/0!</v>
      </c>
      <c r="H42" s="283" t="e">
        <f>#REF!+D42+#REF!+#REF!+#REF!</f>
        <v>#REF!</v>
      </c>
      <c r="I42" s="286" t="e">
        <f>#REF!+E42+#REF!+#REF!+#REF!</f>
        <v>#REF!</v>
      </c>
      <c r="J42" s="41" t="e">
        <f t="shared" si="7"/>
        <v>#REF!</v>
      </c>
      <c r="K42" s="41" t="e">
        <f t="shared" si="8"/>
        <v>#REF!</v>
      </c>
      <c r="L42" s="67"/>
      <c r="M42" s="12"/>
      <c r="N42" s="53" t="e">
        <f t="shared" si="11"/>
        <v>#REF!</v>
      </c>
      <c r="O42" s="9" t="e">
        <f>#REF!+E42+#REF!+#REF!+#REF!+M42</f>
        <v>#REF!</v>
      </c>
      <c r="P42" s="21" t="e">
        <f t="shared" si="9"/>
        <v>#REF!</v>
      </c>
      <c r="Q42" s="54" t="e">
        <f t="shared" si="10"/>
        <v>#REF!</v>
      </c>
      <c r="R42" s="242"/>
    </row>
    <row r="43" spans="1:20" s="3" customFormat="1">
      <c r="A43" s="158" t="s">
        <v>117</v>
      </c>
      <c r="B43" s="172" t="s">
        <v>10</v>
      </c>
      <c r="C43" s="258" t="s">
        <v>140</v>
      </c>
      <c r="D43" s="283">
        <v>1038441.61</v>
      </c>
      <c r="E43" s="283">
        <v>719849.49900000007</v>
      </c>
      <c r="F43" s="288">
        <v>-318592.11099999992</v>
      </c>
      <c r="G43" s="252">
        <v>-30.679829075801379</v>
      </c>
      <c r="H43" s="283" t="e">
        <f>#REF!+D43+#REF!+#REF!+#REF!</f>
        <v>#REF!</v>
      </c>
      <c r="I43" s="286" t="e">
        <f>#REF!+E43+#REF!+#REF!+#REF!</f>
        <v>#REF!</v>
      </c>
      <c r="J43" s="41" t="e">
        <f t="shared" si="7"/>
        <v>#REF!</v>
      </c>
      <c r="K43" s="131" t="e">
        <f t="shared" si="8"/>
        <v>#REF!</v>
      </c>
      <c r="L43" s="67"/>
      <c r="M43" s="12"/>
      <c r="N43" s="53" t="e">
        <f>H43+L43</f>
        <v>#REF!</v>
      </c>
      <c r="O43" s="9" t="e">
        <f>#REF!+E43+#REF!+#REF!+#REF!+M43</f>
        <v>#REF!</v>
      </c>
      <c r="P43" s="21" t="e">
        <f t="shared" si="9"/>
        <v>#REF!</v>
      </c>
      <c r="Q43" s="54" t="e">
        <f t="shared" si="10"/>
        <v>#REF!</v>
      </c>
      <c r="R43" s="242"/>
    </row>
    <row r="44" spans="1:20" s="3" customFormat="1" hidden="1">
      <c r="A44" s="158" t="s">
        <v>75</v>
      </c>
      <c r="B44" s="172" t="s">
        <v>119</v>
      </c>
      <c r="C44" s="258" t="s">
        <v>140</v>
      </c>
      <c r="D44" s="283"/>
      <c r="E44" s="283"/>
      <c r="F44" s="252">
        <v>0</v>
      </c>
      <c r="G44" s="252" t="e">
        <v>#DIV/0!</v>
      </c>
      <c r="H44" s="283" t="e">
        <f>#REF!+D44+#REF!+#REF!+#REF!</f>
        <v>#REF!</v>
      </c>
      <c r="I44" s="286" t="e">
        <f>#REF!+E44+#REF!+#REF!+#REF!</f>
        <v>#REF!</v>
      </c>
      <c r="J44" s="41" t="e">
        <f t="shared" si="7"/>
        <v>#REF!</v>
      </c>
      <c r="K44" s="131" t="e">
        <f>I44/H44*100-100</f>
        <v>#REF!</v>
      </c>
      <c r="L44" s="53">
        <v>256332.14</v>
      </c>
      <c r="M44" s="9">
        <v>704941.21</v>
      </c>
      <c r="N44" s="53" t="e">
        <f>H44+L44</f>
        <v>#REF!</v>
      </c>
      <c r="O44" s="9" t="e">
        <f>#REF!+E44+#REF!+#REF!+#REF!+M44</f>
        <v>#REF!</v>
      </c>
      <c r="P44" s="21" t="e">
        <f t="shared" si="9"/>
        <v>#REF!</v>
      </c>
      <c r="Q44" s="54" t="e">
        <f t="shared" si="10"/>
        <v>#REF!</v>
      </c>
      <c r="R44" s="242"/>
    </row>
    <row r="45" spans="1:20" s="3" customFormat="1" hidden="1">
      <c r="A45" s="158" t="s">
        <v>148</v>
      </c>
      <c r="B45" s="172" t="s">
        <v>121</v>
      </c>
      <c r="C45" s="258" t="s">
        <v>140</v>
      </c>
      <c r="D45" s="283"/>
      <c r="E45" s="283"/>
      <c r="F45" s="252">
        <v>0</v>
      </c>
      <c r="G45" s="252" t="e">
        <v>#DIV/0!</v>
      </c>
      <c r="H45" s="283" t="e">
        <f>#REF!+D45+#REF!+#REF!+#REF!</f>
        <v>#REF!</v>
      </c>
      <c r="I45" s="286" t="e">
        <f>#REF!+E45+#REF!+#REF!+#REF!</f>
        <v>#REF!</v>
      </c>
      <c r="J45" s="41"/>
      <c r="K45" s="131"/>
      <c r="L45" s="67"/>
      <c r="M45" s="12"/>
      <c r="N45" s="53" t="e">
        <f>H45+L45</f>
        <v>#REF!</v>
      </c>
      <c r="O45" s="9" t="e">
        <f>#REF!+E45+#REF!+#REF!+#REF!+M45</f>
        <v>#REF!</v>
      </c>
      <c r="P45" s="21"/>
      <c r="Q45" s="54"/>
      <c r="R45" s="242"/>
    </row>
    <row r="46" spans="1:20" s="3" customFormat="1" ht="47.25" hidden="1">
      <c r="A46" s="158" t="s">
        <v>149</v>
      </c>
      <c r="B46" s="172" t="s">
        <v>122</v>
      </c>
      <c r="C46" s="258" t="s">
        <v>140</v>
      </c>
      <c r="D46" s="283"/>
      <c r="E46" s="283"/>
      <c r="F46" s="252">
        <v>0</v>
      </c>
      <c r="G46" s="252" t="e">
        <v>#DIV/0!</v>
      </c>
      <c r="H46" s="283" t="e">
        <f>#REF!+D46+#REF!+#REF!+#REF!</f>
        <v>#REF!</v>
      </c>
      <c r="I46" s="286" t="e">
        <f>#REF!+E46+#REF!+#REF!+#REF!</f>
        <v>#REF!</v>
      </c>
      <c r="J46" s="41" t="e">
        <f>I46-H46</f>
        <v>#REF!</v>
      </c>
      <c r="K46" s="131" t="e">
        <f t="shared" si="8"/>
        <v>#REF!</v>
      </c>
      <c r="L46" s="67"/>
      <c r="M46" s="12"/>
      <c r="N46" s="53" t="e">
        <f>H46+L46</f>
        <v>#REF!</v>
      </c>
      <c r="O46" s="9" t="e">
        <f>#REF!+E46+#REF!+#REF!+#REF!+M46</f>
        <v>#REF!</v>
      </c>
      <c r="P46" s="21" t="e">
        <f>O46-N46</f>
        <v>#REF!</v>
      </c>
      <c r="Q46" s="54" t="e">
        <f>O46/N46*100-100</f>
        <v>#REF!</v>
      </c>
      <c r="R46" s="242"/>
    </row>
    <row r="47" spans="1:20">
      <c r="A47" s="159" t="s">
        <v>16</v>
      </c>
      <c r="B47" s="173" t="s">
        <v>150</v>
      </c>
      <c r="C47" s="260" t="s">
        <v>140</v>
      </c>
      <c r="D47" s="277">
        <v>2913.5000000000005</v>
      </c>
      <c r="E47" s="277">
        <v>325.41127170199996</v>
      </c>
      <c r="F47" s="277">
        <v>-2402.2887282980005</v>
      </c>
      <c r="G47" s="277">
        <v>-88.830915678668276</v>
      </c>
      <c r="H47" s="277" t="e">
        <f t="shared" ref="H47:Q47" si="14">H48+H82</f>
        <v>#REF!</v>
      </c>
      <c r="I47" s="277" t="e">
        <f t="shared" si="14"/>
        <v>#REF!</v>
      </c>
      <c r="J47" s="277" t="e">
        <f t="shared" si="14"/>
        <v>#REF!</v>
      </c>
      <c r="K47" s="277" t="e">
        <f t="shared" si="14"/>
        <v>#REF!</v>
      </c>
      <c r="L47" s="277">
        <f t="shared" si="14"/>
        <v>0</v>
      </c>
      <c r="M47" s="277">
        <f t="shared" si="14"/>
        <v>0</v>
      </c>
      <c r="N47" s="277" t="e">
        <f t="shared" si="14"/>
        <v>#REF!</v>
      </c>
      <c r="O47" s="277" t="e">
        <f t="shared" si="14"/>
        <v>#REF!</v>
      </c>
      <c r="P47" s="277" t="e">
        <f t="shared" si="14"/>
        <v>#REF!</v>
      </c>
      <c r="Q47" s="277" t="e">
        <f t="shared" si="14"/>
        <v>#REF!</v>
      </c>
      <c r="R47" s="242"/>
    </row>
    <row r="48" spans="1:20" ht="31.5">
      <c r="A48" s="157" t="s">
        <v>151</v>
      </c>
      <c r="B48" s="169" t="s">
        <v>17</v>
      </c>
      <c r="C48" s="257" t="s">
        <v>140</v>
      </c>
      <c r="D48" s="280">
        <v>2913.5000000000005</v>
      </c>
      <c r="E48" s="280">
        <v>325.41127170199996</v>
      </c>
      <c r="F48" s="280">
        <v>-2402.2887282980005</v>
      </c>
      <c r="G48" s="280">
        <v>-88.830915678668276</v>
      </c>
      <c r="H48" s="280" t="e">
        <f t="shared" ref="H48:I48" si="15">SUM(H49:H53)</f>
        <v>#REF!</v>
      </c>
      <c r="I48" s="280" t="e">
        <f t="shared" si="15"/>
        <v>#REF!</v>
      </c>
      <c r="J48" s="31" t="e">
        <f>I48-H48</f>
        <v>#REF!</v>
      </c>
      <c r="K48" s="131" t="e">
        <f t="shared" si="8"/>
        <v>#REF!</v>
      </c>
      <c r="L48" s="44"/>
      <c r="M48" s="11"/>
      <c r="N48" s="44" t="e">
        <f>SUM(N49:N53)</f>
        <v>#REF!</v>
      </c>
      <c r="O48" s="11" t="e">
        <f>SUM(O49:O53)</f>
        <v>#REF!</v>
      </c>
      <c r="P48" s="31" t="e">
        <f>O48-N48</f>
        <v>#REF!</v>
      </c>
      <c r="Q48" s="61" t="e">
        <f>O48/N48*100-100</f>
        <v>#REF!</v>
      </c>
      <c r="R48" s="242"/>
    </row>
    <row r="49" spans="1:20" s="3" customFormat="1" ht="31.5">
      <c r="A49" s="158" t="s">
        <v>76</v>
      </c>
      <c r="B49" s="170" t="s">
        <v>18</v>
      </c>
      <c r="C49" s="258" t="s">
        <v>140</v>
      </c>
      <c r="D49" s="283">
        <v>2063.88</v>
      </c>
      <c r="E49" s="283">
        <v>209.72565779999996</v>
      </c>
      <c r="F49" s="252">
        <v>-1854.1543422000002</v>
      </c>
      <c r="G49" s="252">
        <v>-89.83828237106809</v>
      </c>
      <c r="H49" s="283" t="e">
        <f>#REF!+D49+#REF!+#REF!+#REF!</f>
        <v>#REF!</v>
      </c>
      <c r="I49" s="283" t="e">
        <f>#REF!+E49+#REF!+#REF!+#REF!</f>
        <v>#REF!</v>
      </c>
      <c r="J49" s="41" t="e">
        <f>I49-H49</f>
        <v>#REF!</v>
      </c>
      <c r="K49" s="41" t="e">
        <f t="shared" si="8"/>
        <v>#REF!</v>
      </c>
      <c r="L49" s="53"/>
      <c r="M49" s="9"/>
      <c r="N49" s="53" t="e">
        <f>H49+L49</f>
        <v>#REF!</v>
      </c>
      <c r="O49" s="9" t="e">
        <f>#REF!+E49+#REF!+#REF!+#REF!+M49</f>
        <v>#REF!</v>
      </c>
      <c r="P49" s="21" t="e">
        <f>O49-N49</f>
        <v>#REF!</v>
      </c>
      <c r="Q49" s="54" t="e">
        <f>O49/N49*100-100</f>
        <v>#REF!</v>
      </c>
      <c r="R49" s="242">
        <v>63567.159</v>
      </c>
      <c r="S49" s="96" t="e">
        <f t="shared" ref="S49:S78" si="16">I49-R49</f>
        <v>#REF!</v>
      </c>
    </row>
    <row r="50" spans="1:20" s="3" customFormat="1">
      <c r="A50" s="158" t="s">
        <v>77</v>
      </c>
      <c r="B50" s="170" t="s">
        <v>171</v>
      </c>
      <c r="C50" s="258" t="s">
        <v>140</v>
      </c>
      <c r="D50" s="283">
        <v>176.46</v>
      </c>
      <c r="E50" s="283">
        <v>16.609218285000001</v>
      </c>
      <c r="F50" s="252">
        <v>-159.85078171500001</v>
      </c>
      <c r="G50" s="252">
        <v>-90.587544891193474</v>
      </c>
      <c r="H50" s="283" t="e">
        <f>#REF!+D50+#REF!+#REF!+#REF!</f>
        <v>#REF!</v>
      </c>
      <c r="I50" s="283" t="e">
        <f>#REF!+E50+#REF!+#REF!+#REF!</f>
        <v>#REF!</v>
      </c>
      <c r="J50" s="41" t="e">
        <f>I50-H50</f>
        <v>#REF!</v>
      </c>
      <c r="K50" s="41" t="e">
        <f t="shared" si="8"/>
        <v>#REF!</v>
      </c>
      <c r="L50" s="53"/>
      <c r="M50" s="9"/>
      <c r="N50" s="53" t="e">
        <f>H50+L50</f>
        <v>#REF!</v>
      </c>
      <c r="O50" s="9" t="e">
        <f>#REF!+E50+#REF!+#REF!+#REF!+M50</f>
        <v>#REF!</v>
      </c>
      <c r="P50" s="21" t="e">
        <f>O50-N50</f>
        <v>#REF!</v>
      </c>
      <c r="Q50" s="54" t="e">
        <f>O50/N50*100-100</f>
        <v>#REF!</v>
      </c>
      <c r="R50" s="242">
        <v>5014.9203500000003</v>
      </c>
      <c r="S50" s="96" t="e">
        <f t="shared" si="16"/>
        <v>#REF!</v>
      </c>
    </row>
    <row r="51" spans="1:20" s="3" customFormat="1">
      <c r="A51" s="158"/>
      <c r="B51" s="170" t="s">
        <v>169</v>
      </c>
      <c r="C51" s="258"/>
      <c r="D51" s="283"/>
      <c r="E51" s="283">
        <v>5.5293610969999998</v>
      </c>
      <c r="F51" s="252">
        <v>5.5293610969999998</v>
      </c>
      <c r="G51" s="252"/>
      <c r="H51" s="283" t="e">
        <f>#REF!+D51+#REF!+#REF!+#REF!</f>
        <v>#REF!</v>
      </c>
      <c r="I51" s="283" t="e">
        <f>#REF!+E51+#REF!+#REF!+#REF!</f>
        <v>#REF!</v>
      </c>
      <c r="J51" s="97"/>
      <c r="K51" s="41" t="e">
        <f t="shared" si="8"/>
        <v>#REF!</v>
      </c>
      <c r="L51" s="91"/>
      <c r="M51" s="86"/>
      <c r="N51" s="91"/>
      <c r="O51" s="9" t="e">
        <f>#REF!+E51+#REF!+#REF!+#REF!+M51</f>
        <v>#REF!</v>
      </c>
      <c r="P51" s="92"/>
      <c r="Q51" s="93"/>
      <c r="R51" s="242">
        <v>1681.2608700000001</v>
      </c>
      <c r="S51" s="96" t="e">
        <f t="shared" si="16"/>
        <v>#REF!</v>
      </c>
    </row>
    <row r="52" spans="1:20" s="3" customFormat="1">
      <c r="A52" s="158" t="s">
        <v>78</v>
      </c>
      <c r="B52" s="170" t="s">
        <v>19</v>
      </c>
      <c r="C52" s="258" t="s">
        <v>140</v>
      </c>
      <c r="D52" s="283">
        <v>290.36</v>
      </c>
      <c r="E52" s="283">
        <v>30.87827313199999</v>
      </c>
      <c r="F52" s="252">
        <v>-259.48172686800001</v>
      </c>
      <c r="G52" s="252">
        <v>-89.365521031822567</v>
      </c>
      <c r="H52" s="283" t="e">
        <f>#REF!+D52+#REF!+#REF!+#REF!</f>
        <v>#REF!</v>
      </c>
      <c r="I52" s="283" t="e">
        <f>#REF!+E52+#REF!+#REF!+#REF!</f>
        <v>#REF!</v>
      </c>
      <c r="J52" s="97" t="e">
        <f>I52-H52</f>
        <v>#REF!</v>
      </c>
      <c r="K52" s="41" t="e">
        <f t="shared" si="8"/>
        <v>#REF!</v>
      </c>
      <c r="L52" s="91"/>
      <c r="M52" s="86"/>
      <c r="N52" s="91" t="e">
        <f>H52+L52</f>
        <v>#REF!</v>
      </c>
      <c r="O52" s="9" t="e">
        <f>#REF!+E52+#REF!+#REF!+#REF!+M52</f>
        <v>#REF!</v>
      </c>
      <c r="P52" s="92" t="e">
        <f>O52-N52</f>
        <v>#REF!</v>
      </c>
      <c r="Q52" s="93" t="e">
        <f>O52/N52*100-100</f>
        <v>#REF!</v>
      </c>
      <c r="R52" s="242">
        <v>9873.2397199999996</v>
      </c>
      <c r="S52" s="96" t="e">
        <f t="shared" si="16"/>
        <v>#REF!</v>
      </c>
    </row>
    <row r="53" spans="1:20">
      <c r="A53" s="160" t="s">
        <v>79</v>
      </c>
      <c r="B53" s="169" t="s">
        <v>152</v>
      </c>
      <c r="C53" s="258" t="s">
        <v>140</v>
      </c>
      <c r="D53" s="280">
        <v>382.80000000000007</v>
      </c>
      <c r="E53" s="280">
        <v>62.668761388000014</v>
      </c>
      <c r="F53" s="280">
        <v>-134.33123861200005</v>
      </c>
      <c r="G53" s="280">
        <v>-83.628850212121208</v>
      </c>
      <c r="H53" s="280">
        <f t="shared" ref="H53:I53" si="17">SUM(H54:H80)</f>
        <v>42564.135391949283</v>
      </c>
      <c r="I53" s="280" t="e">
        <f t="shared" si="17"/>
        <v>#REF!</v>
      </c>
      <c r="J53" s="31" t="e">
        <f>I53-H53</f>
        <v>#REF!</v>
      </c>
      <c r="K53" s="31" t="e">
        <f t="shared" si="8"/>
        <v>#REF!</v>
      </c>
      <c r="L53" s="44"/>
      <c r="M53" s="11"/>
      <c r="N53" s="44">
        <f>SUM(N54:N80)</f>
        <v>42564.135391949283</v>
      </c>
      <c r="O53" s="11" t="e">
        <f>SUM(O54:O80)</f>
        <v>#REF!</v>
      </c>
      <c r="P53" s="31" t="e">
        <f>O53-N53</f>
        <v>#REF!</v>
      </c>
      <c r="Q53" s="61" t="e">
        <f>O53/N53*100-100</f>
        <v>#REF!</v>
      </c>
      <c r="R53" s="242"/>
      <c r="S53" s="96"/>
    </row>
    <row r="54" spans="1:20" s="3" customFormat="1">
      <c r="A54" s="158" t="s">
        <v>80</v>
      </c>
      <c r="B54" s="172" t="s">
        <v>20</v>
      </c>
      <c r="C54" s="261" t="s">
        <v>140</v>
      </c>
      <c r="D54" s="283">
        <v>3.61</v>
      </c>
      <c r="E54" s="283">
        <v>4.835673012</v>
      </c>
      <c r="F54" s="252">
        <v>1.2256730120000001</v>
      </c>
      <c r="G54" s="252">
        <v>33.952160997229925</v>
      </c>
      <c r="H54" s="283">
        <v>2700.8048642946674</v>
      </c>
      <c r="I54" s="283" t="e">
        <f>#REF!+E54+#REF!+#REF!+#REF!</f>
        <v>#REF!</v>
      </c>
      <c r="J54" s="41" t="e">
        <f>I54-H54</f>
        <v>#REF!</v>
      </c>
      <c r="K54" s="41" t="e">
        <f t="shared" si="8"/>
        <v>#REF!</v>
      </c>
      <c r="L54" s="53"/>
      <c r="M54" s="9"/>
      <c r="N54" s="53">
        <f>H54+L54</f>
        <v>2700.8048642946674</v>
      </c>
      <c r="O54" s="9" t="e">
        <f>#REF!+E54+#REF!+#REF!+#REF!+M54</f>
        <v>#REF!</v>
      </c>
      <c r="P54" s="21" t="e">
        <f>O54-N54</f>
        <v>#REF!</v>
      </c>
      <c r="Q54" s="54" t="e">
        <f>O54/N54*100-100</f>
        <v>#REF!</v>
      </c>
      <c r="R54" s="242">
        <v>1339.9641200000001</v>
      </c>
      <c r="S54" s="96" t="e">
        <f t="shared" si="16"/>
        <v>#REF!</v>
      </c>
    </row>
    <row r="55" spans="1:20" s="3" customFormat="1">
      <c r="A55" s="158" t="s">
        <v>81</v>
      </c>
      <c r="B55" s="172" t="s">
        <v>21</v>
      </c>
      <c r="C55" s="261" t="s">
        <v>140</v>
      </c>
      <c r="D55" s="283"/>
      <c r="E55" s="283"/>
      <c r="F55" s="252"/>
      <c r="G55" s="252"/>
      <c r="H55" s="283"/>
      <c r="I55" s="283"/>
      <c r="J55" s="21"/>
      <c r="K55" s="21"/>
      <c r="L55" s="53"/>
      <c r="M55" s="9"/>
      <c r="N55" s="53"/>
      <c r="O55" s="9" t="e">
        <f>#REF!+E55+#REF!+#REF!+#REF!+M55</f>
        <v>#REF!</v>
      </c>
      <c r="P55" s="21"/>
      <c r="Q55" s="54"/>
      <c r="R55" s="242">
        <v>2809.5409599999998</v>
      </c>
      <c r="S55" s="96">
        <f t="shared" si="16"/>
        <v>-2809.5409599999998</v>
      </c>
    </row>
    <row r="56" spans="1:20" s="3" customFormat="1">
      <c r="A56" s="158" t="s">
        <v>82</v>
      </c>
      <c r="B56" s="172" t="s">
        <v>22</v>
      </c>
      <c r="C56" s="261" t="s">
        <v>140</v>
      </c>
      <c r="D56" s="283">
        <v>1.1499999999999999</v>
      </c>
      <c r="E56" s="283"/>
      <c r="F56" s="252">
        <v>-1.1499999999999999</v>
      </c>
      <c r="G56" s="252">
        <v>-100</v>
      </c>
      <c r="H56" s="283">
        <v>30.573602399999999</v>
      </c>
      <c r="I56" s="283" t="e">
        <f>#REF!+E56+#REF!+#REF!+#REF!</f>
        <v>#REF!</v>
      </c>
      <c r="J56" s="26">
        <v>51.106397600000022</v>
      </c>
      <c r="K56" s="131" t="e">
        <f t="shared" ref="K56:K80" si="18">I56/H56*100-100</f>
        <v>#REF!</v>
      </c>
      <c r="L56" s="53"/>
      <c r="M56" s="9"/>
      <c r="N56" s="53">
        <f t="shared" ref="N56:N80" si="19">H56+L56</f>
        <v>30.573602399999999</v>
      </c>
      <c r="O56" s="9" t="e">
        <f>#REF!+E56+#REF!+#REF!+#REF!+M56</f>
        <v>#REF!</v>
      </c>
      <c r="P56" s="21"/>
      <c r="Q56" s="54"/>
      <c r="R56" s="242"/>
      <c r="S56" s="96"/>
    </row>
    <row r="57" spans="1:20" s="3" customFormat="1">
      <c r="A57" s="158" t="s">
        <v>153</v>
      </c>
      <c r="B57" s="172" t="s">
        <v>23</v>
      </c>
      <c r="C57" s="261" t="s">
        <v>140</v>
      </c>
      <c r="D57" s="283">
        <v>0.13</v>
      </c>
      <c r="E57" s="283"/>
      <c r="F57" s="252">
        <v>-0.13</v>
      </c>
      <c r="G57" s="252">
        <v>-100</v>
      </c>
      <c r="H57" s="283">
        <v>33.778467930476666</v>
      </c>
      <c r="I57" s="283" t="e">
        <f>#REF!+E57+#REF!+#REF!+#REF!</f>
        <v>#REF!</v>
      </c>
      <c r="J57" s="26">
        <v>3393.1415320695232</v>
      </c>
      <c r="K57" s="131" t="e">
        <f t="shared" si="18"/>
        <v>#REF!</v>
      </c>
      <c r="L57" s="53"/>
      <c r="M57" s="9"/>
      <c r="N57" s="53">
        <f t="shared" si="19"/>
        <v>33.778467930476666</v>
      </c>
      <c r="O57" s="9" t="e">
        <f>#REF!+E57+#REF!+#REF!+#REF!+M57</f>
        <v>#REF!</v>
      </c>
      <c r="P57" s="21" t="e">
        <f t="shared" ref="P57:P63" si="20">O57-N57</f>
        <v>#REF!</v>
      </c>
      <c r="Q57" s="54" t="e">
        <f t="shared" ref="Q57:Q63" si="21">O57/N57*100-100</f>
        <v>#REF!</v>
      </c>
      <c r="R57" s="242"/>
      <c r="S57" s="96"/>
    </row>
    <row r="58" spans="1:20" s="3" customFormat="1">
      <c r="A58" s="158" t="s">
        <v>83</v>
      </c>
      <c r="B58" s="172" t="s">
        <v>24</v>
      </c>
      <c r="C58" s="261" t="s">
        <v>140</v>
      </c>
      <c r="D58" s="283">
        <v>7.64</v>
      </c>
      <c r="E58" s="283">
        <v>6.0558762880000003</v>
      </c>
      <c r="F58" s="252">
        <v>-1.5841237119999994</v>
      </c>
      <c r="G58" s="252">
        <v>-20.734603560209422</v>
      </c>
      <c r="H58" s="283">
        <v>2308.1666133103577</v>
      </c>
      <c r="I58" s="283" t="e">
        <f>#REF!+E58+#REF!+#REF!+#REF!</f>
        <v>#REF!</v>
      </c>
      <c r="J58" s="26">
        <v>-1403.8566133103577</v>
      </c>
      <c r="K58" s="131" t="e">
        <f t="shared" si="18"/>
        <v>#REF!</v>
      </c>
      <c r="L58" s="53"/>
      <c r="M58" s="9"/>
      <c r="N58" s="53">
        <f t="shared" si="19"/>
        <v>2308.1666133103577</v>
      </c>
      <c r="O58" s="9" t="e">
        <f>#REF!+E58+#REF!+#REF!+#REF!+M58</f>
        <v>#REF!</v>
      </c>
      <c r="P58" s="21" t="e">
        <f t="shared" si="20"/>
        <v>#REF!</v>
      </c>
      <c r="Q58" s="54" t="e">
        <f t="shared" si="21"/>
        <v>#REF!</v>
      </c>
      <c r="R58" s="242">
        <v>1770.1242299999999</v>
      </c>
      <c r="S58" s="96" t="e">
        <f t="shared" si="16"/>
        <v>#REF!</v>
      </c>
    </row>
    <row r="59" spans="1:20" s="3" customFormat="1">
      <c r="A59" s="158" t="s">
        <v>84</v>
      </c>
      <c r="B59" s="172" t="s">
        <v>25</v>
      </c>
      <c r="C59" s="261" t="s">
        <v>140</v>
      </c>
      <c r="D59" s="283">
        <v>0</v>
      </c>
      <c r="E59" s="283">
        <v>0.76489399999999996</v>
      </c>
      <c r="F59" s="252">
        <v>0.76489399999999996</v>
      </c>
      <c r="G59" s="252"/>
      <c r="H59" s="283">
        <v>82.598847300000003</v>
      </c>
      <c r="I59" s="283" t="e">
        <f>#REF!+E59+#REF!+#REF!+#REF!</f>
        <v>#REF!</v>
      </c>
      <c r="J59" s="21">
        <v>148.14115270000002</v>
      </c>
      <c r="K59" s="131" t="e">
        <f t="shared" si="18"/>
        <v>#REF!</v>
      </c>
      <c r="L59" s="53"/>
      <c r="M59" s="9"/>
      <c r="N59" s="53">
        <f t="shared" si="19"/>
        <v>82.598847300000003</v>
      </c>
      <c r="O59" s="9" t="e">
        <f>#REF!+E59+#REF!+#REF!+#REF!+M59</f>
        <v>#REF!</v>
      </c>
      <c r="P59" s="21" t="e">
        <f t="shared" si="20"/>
        <v>#REF!</v>
      </c>
      <c r="Q59" s="54" t="e">
        <f t="shared" si="21"/>
        <v>#REF!</v>
      </c>
      <c r="R59" s="242">
        <v>246.74</v>
      </c>
      <c r="S59" s="96" t="e">
        <f t="shared" si="16"/>
        <v>#REF!</v>
      </c>
    </row>
    <row r="60" spans="1:20" s="3" customFormat="1">
      <c r="A60" s="158" t="s">
        <v>154</v>
      </c>
      <c r="B60" s="172" t="s">
        <v>26</v>
      </c>
      <c r="C60" s="261" t="s">
        <v>140</v>
      </c>
      <c r="D60" s="283">
        <v>80.83</v>
      </c>
      <c r="E60" s="283">
        <v>16.541748707</v>
      </c>
      <c r="F60" s="252">
        <v>-64.288251293000002</v>
      </c>
      <c r="G60" s="252">
        <v>-79.535137069157486</v>
      </c>
      <c r="H60" s="283">
        <v>10181.643933488001</v>
      </c>
      <c r="I60" s="283" t="e">
        <f>#REF!+E60+#REF!+#REF!+#REF!</f>
        <v>#REF!</v>
      </c>
      <c r="J60" s="21">
        <v>417.57457651199911</v>
      </c>
      <c r="K60" s="131" t="e">
        <f t="shared" si="18"/>
        <v>#REF!</v>
      </c>
      <c r="L60" s="53"/>
      <c r="M60" s="9"/>
      <c r="N60" s="53">
        <f t="shared" si="19"/>
        <v>10181.643933488001</v>
      </c>
      <c r="O60" s="9" t="e">
        <f>#REF!+E60+#REF!+#REF!+#REF!+M60</f>
        <v>#REF!</v>
      </c>
      <c r="P60" s="21" t="e">
        <f t="shared" si="20"/>
        <v>#REF!</v>
      </c>
      <c r="Q60" s="54" t="e">
        <f t="shared" si="21"/>
        <v>#REF!</v>
      </c>
      <c r="R60" s="242">
        <v>3561.9602100000002</v>
      </c>
      <c r="S60" s="96" t="e">
        <f t="shared" si="16"/>
        <v>#REF!</v>
      </c>
      <c r="T60" s="132"/>
    </row>
    <row r="61" spans="1:20" s="77" customFormat="1">
      <c r="A61" s="158" t="s">
        <v>85</v>
      </c>
      <c r="B61" s="172" t="s">
        <v>27</v>
      </c>
      <c r="C61" s="261" t="s">
        <v>140</v>
      </c>
      <c r="D61" s="283">
        <v>19.3</v>
      </c>
      <c r="E61" s="283">
        <v>0.89075176800000011</v>
      </c>
      <c r="F61" s="252">
        <v>-18.409248231999999</v>
      </c>
      <c r="G61" s="252">
        <v>-95.384705865284971</v>
      </c>
      <c r="H61" s="283">
        <v>1230.9849999999997</v>
      </c>
      <c r="I61" s="283" t="e">
        <f>#REF!+E61+#REF!+#REF!+#REF!</f>
        <v>#REF!</v>
      </c>
      <c r="J61" s="21">
        <v>-1150.6249999999998</v>
      </c>
      <c r="K61" s="131" t="e">
        <f t="shared" si="18"/>
        <v>#REF!</v>
      </c>
      <c r="L61" s="53"/>
      <c r="M61" s="9"/>
      <c r="N61" s="53">
        <f t="shared" si="19"/>
        <v>1230.9849999999997</v>
      </c>
      <c r="O61" s="9" t="e">
        <f>#REF!+E61+#REF!+#REF!+#REF!+M61</f>
        <v>#REF!</v>
      </c>
      <c r="P61" s="21" t="e">
        <f t="shared" si="20"/>
        <v>#REF!</v>
      </c>
      <c r="Q61" s="55" t="e">
        <f t="shared" si="21"/>
        <v>#REF!</v>
      </c>
      <c r="R61" s="242">
        <v>510.08927999999997</v>
      </c>
      <c r="S61" s="96" t="e">
        <f t="shared" si="16"/>
        <v>#REF!</v>
      </c>
    </row>
    <row r="62" spans="1:20" s="98" customFormat="1">
      <c r="A62" s="158" t="s">
        <v>86</v>
      </c>
      <c r="B62" s="172" t="s">
        <v>28</v>
      </c>
      <c r="C62" s="262" t="s">
        <v>140</v>
      </c>
      <c r="D62" s="283">
        <v>4.6500000000000004</v>
      </c>
      <c r="E62" s="283">
        <v>4.1123347910000003</v>
      </c>
      <c r="F62" s="252">
        <v>-0.53766520900000003</v>
      </c>
      <c r="G62" s="252">
        <v>-11.562692666666663</v>
      </c>
      <c r="H62" s="283">
        <v>430.34440281600007</v>
      </c>
      <c r="I62" s="283" t="e">
        <f>#REF!+E62+#REF!+#REF!+#REF!</f>
        <v>#REF!</v>
      </c>
      <c r="J62" s="21">
        <v>3.6555971839999302</v>
      </c>
      <c r="K62" s="131" t="e">
        <f t="shared" si="18"/>
        <v>#REF!</v>
      </c>
      <c r="L62" s="69"/>
      <c r="M62" s="26"/>
      <c r="N62" s="53">
        <f t="shared" si="19"/>
        <v>430.34440281600007</v>
      </c>
      <c r="O62" s="9" t="e">
        <f>#REF!+E62+#REF!+#REF!+#REF!+M62</f>
        <v>#REF!</v>
      </c>
      <c r="P62" s="21" t="e">
        <f t="shared" si="20"/>
        <v>#REF!</v>
      </c>
      <c r="Q62" s="55" t="e">
        <f t="shared" si="21"/>
        <v>#REF!</v>
      </c>
      <c r="R62" s="242">
        <v>1043.48622</v>
      </c>
      <c r="S62" s="96" t="e">
        <f t="shared" si="16"/>
        <v>#REF!</v>
      </c>
    </row>
    <row r="63" spans="1:20" s="98" customFormat="1">
      <c r="A63" s="158" t="s">
        <v>87</v>
      </c>
      <c r="B63" s="172" t="s">
        <v>29</v>
      </c>
      <c r="C63" s="262" t="s">
        <v>140</v>
      </c>
      <c r="D63" s="283">
        <v>0.66</v>
      </c>
      <c r="E63" s="283"/>
      <c r="F63" s="252">
        <v>-0.66</v>
      </c>
      <c r="G63" s="252">
        <v>-100</v>
      </c>
      <c r="H63" s="283">
        <v>209.55873033245001</v>
      </c>
      <c r="I63" s="283" t="e">
        <f>#REF!+E63+#REF!+#REF!+#REF!</f>
        <v>#REF!</v>
      </c>
      <c r="J63" s="21">
        <v>39.041269667549983</v>
      </c>
      <c r="K63" s="131" t="e">
        <f t="shared" si="18"/>
        <v>#REF!</v>
      </c>
      <c r="L63" s="69"/>
      <c r="M63" s="26"/>
      <c r="N63" s="53">
        <f t="shared" si="19"/>
        <v>209.55873033245001</v>
      </c>
      <c r="O63" s="9" t="e">
        <f>#REF!+E63+#REF!+#REF!+#REF!+M63</f>
        <v>#REF!</v>
      </c>
      <c r="P63" s="21" t="e">
        <f t="shared" si="20"/>
        <v>#REF!</v>
      </c>
      <c r="Q63" s="55" t="e">
        <f t="shared" si="21"/>
        <v>#REF!</v>
      </c>
      <c r="R63" s="242"/>
      <c r="S63" s="96"/>
    </row>
    <row r="64" spans="1:20" s="77" customFormat="1">
      <c r="A64" s="158" t="s">
        <v>88</v>
      </c>
      <c r="B64" s="172" t="s">
        <v>30</v>
      </c>
      <c r="C64" s="261" t="s">
        <v>140</v>
      </c>
      <c r="D64" s="283">
        <v>0</v>
      </c>
      <c r="E64" s="283">
        <v>2.7536369999999998E-2</v>
      </c>
      <c r="F64" s="252">
        <v>2.7536369999999998E-2</v>
      </c>
      <c r="G64" s="252"/>
      <c r="H64" s="283">
        <v>0</v>
      </c>
      <c r="I64" s="283" t="e">
        <f>#REF!+E64+#REF!+#REF!+#REF!</f>
        <v>#REF!</v>
      </c>
      <c r="J64" s="9"/>
      <c r="K64" s="237"/>
      <c r="L64" s="53"/>
      <c r="M64" s="9"/>
      <c r="N64" s="53">
        <f t="shared" si="19"/>
        <v>0</v>
      </c>
      <c r="O64" s="9" t="e">
        <f>#REF!+E64+#REF!+#REF!+#REF!+M64</f>
        <v>#REF!</v>
      </c>
      <c r="P64" s="9"/>
      <c r="Q64" s="238"/>
      <c r="R64" s="242">
        <v>8.8826999999999998</v>
      </c>
      <c r="S64" s="96" t="e">
        <f t="shared" si="16"/>
        <v>#REF!</v>
      </c>
    </row>
    <row r="65" spans="1:19" s="98" customFormat="1">
      <c r="A65" s="158" t="s">
        <v>89</v>
      </c>
      <c r="B65" s="172" t="s">
        <v>31</v>
      </c>
      <c r="C65" s="262" t="s">
        <v>140</v>
      </c>
      <c r="D65" s="283">
        <v>0</v>
      </c>
      <c r="E65" s="283">
        <v>0.28623837600000002</v>
      </c>
      <c r="F65" s="252">
        <v>0.28623837600000002</v>
      </c>
      <c r="G65" s="252"/>
      <c r="H65" s="283">
        <v>284.5339962999999</v>
      </c>
      <c r="I65" s="283" t="e">
        <f>#REF!+E65+#REF!+#REF!+#REF!</f>
        <v>#REF!</v>
      </c>
      <c r="J65" s="21">
        <v>700.01600370000006</v>
      </c>
      <c r="K65" s="131" t="e">
        <f t="shared" si="18"/>
        <v>#REF!</v>
      </c>
      <c r="L65" s="69"/>
      <c r="M65" s="26"/>
      <c r="N65" s="53">
        <f t="shared" si="19"/>
        <v>284.5339962999999</v>
      </c>
      <c r="O65" s="9" t="e">
        <f>#REF!+E65+#REF!+#REF!+#REF!+M65</f>
        <v>#REF!</v>
      </c>
      <c r="P65" s="21" t="e">
        <f t="shared" ref="P65:P80" si="22">O65-N65</f>
        <v>#REF!</v>
      </c>
      <c r="Q65" s="55">
        <v>100</v>
      </c>
      <c r="R65" s="242">
        <v>69.788070000000005</v>
      </c>
      <c r="S65" s="96" t="e">
        <f t="shared" si="16"/>
        <v>#REF!</v>
      </c>
    </row>
    <row r="66" spans="1:19" s="3" customFormat="1">
      <c r="A66" s="158" t="s">
        <v>90</v>
      </c>
      <c r="B66" s="172" t="s">
        <v>32</v>
      </c>
      <c r="C66" s="261" t="s">
        <v>140</v>
      </c>
      <c r="D66" s="283">
        <v>21.89</v>
      </c>
      <c r="E66" s="283"/>
      <c r="F66" s="252">
        <v>-21.89</v>
      </c>
      <c r="G66" s="252">
        <v>-100</v>
      </c>
      <c r="H66" s="283">
        <v>6206.7573899999998</v>
      </c>
      <c r="I66" s="283" t="e">
        <f>#REF!+E66+#REF!+#REF!+#REF!</f>
        <v>#REF!</v>
      </c>
      <c r="J66" s="21">
        <v>-5063.2573899999998</v>
      </c>
      <c r="K66" s="131" t="e">
        <f t="shared" si="18"/>
        <v>#REF!</v>
      </c>
      <c r="L66" s="53"/>
      <c r="M66" s="9"/>
      <c r="N66" s="53">
        <f t="shared" si="19"/>
        <v>6206.7573899999998</v>
      </c>
      <c r="O66" s="9" t="e">
        <f>#REF!+E66+#REF!+#REF!+#REF!+M66</f>
        <v>#REF!</v>
      </c>
      <c r="P66" s="21" t="e">
        <f t="shared" si="22"/>
        <v>#REF!</v>
      </c>
      <c r="Q66" s="54" t="e">
        <f t="shared" ref="Q66:Q80" si="23">O66/N66*100-100</f>
        <v>#REF!</v>
      </c>
      <c r="R66" s="242"/>
      <c r="S66" s="96"/>
    </row>
    <row r="67" spans="1:19" s="3" customFormat="1">
      <c r="A67" s="158" t="s">
        <v>91</v>
      </c>
      <c r="B67" s="172" t="s">
        <v>33</v>
      </c>
      <c r="C67" s="261" t="s">
        <v>140</v>
      </c>
      <c r="D67" s="283">
        <v>3.585</v>
      </c>
      <c r="E67" s="283"/>
      <c r="F67" s="252">
        <v>-3.585</v>
      </c>
      <c r="G67" s="252">
        <v>-100</v>
      </c>
      <c r="H67" s="283">
        <v>976.37736529999995</v>
      </c>
      <c r="I67" s="283" t="e">
        <f>#REF!+E67+#REF!+#REF!+#REF!</f>
        <v>#REF!</v>
      </c>
      <c r="J67" s="21">
        <v>-976.37736529999995</v>
      </c>
      <c r="K67" s="131" t="e">
        <f t="shared" si="18"/>
        <v>#REF!</v>
      </c>
      <c r="L67" s="53"/>
      <c r="M67" s="9"/>
      <c r="N67" s="53">
        <f t="shared" si="19"/>
        <v>976.37736529999995</v>
      </c>
      <c r="O67" s="9" t="e">
        <f>#REF!+E67+#REF!+#REF!+#REF!+M67</f>
        <v>#REF!</v>
      </c>
      <c r="P67" s="88" t="e">
        <f t="shared" si="22"/>
        <v>#REF!</v>
      </c>
      <c r="Q67" s="89" t="e">
        <f t="shared" si="23"/>
        <v>#REF!</v>
      </c>
      <c r="R67" s="242"/>
      <c r="S67" s="96"/>
    </row>
    <row r="68" spans="1:19" s="3" customFormat="1">
      <c r="A68" s="158" t="s">
        <v>92</v>
      </c>
      <c r="B68" s="172" t="s">
        <v>34</v>
      </c>
      <c r="C68" s="261" t="s">
        <v>140</v>
      </c>
      <c r="D68" s="283">
        <v>35.35</v>
      </c>
      <c r="E68" s="283">
        <v>0.83699999999999997</v>
      </c>
      <c r="F68" s="252">
        <v>-34.512999999999998</v>
      </c>
      <c r="G68" s="252">
        <v>-97.632248939179632</v>
      </c>
      <c r="H68" s="283">
        <v>3857.6578399999999</v>
      </c>
      <c r="I68" s="283" t="e">
        <f>#REF!+E68+#REF!+#REF!+#REF!</f>
        <v>#REF!</v>
      </c>
      <c r="J68" s="21">
        <v>-887.15783999999985</v>
      </c>
      <c r="K68" s="131" t="e">
        <f t="shared" si="18"/>
        <v>#REF!</v>
      </c>
      <c r="L68" s="53"/>
      <c r="M68" s="9"/>
      <c r="N68" s="53">
        <f t="shared" si="19"/>
        <v>3857.6578399999999</v>
      </c>
      <c r="O68" s="9" t="e">
        <f>#REF!+E68+#REF!+#REF!+#REF!+M68</f>
        <v>#REF!</v>
      </c>
      <c r="P68" s="88" t="e">
        <f t="shared" si="22"/>
        <v>#REF!</v>
      </c>
      <c r="Q68" s="89" t="e">
        <f t="shared" si="23"/>
        <v>#REF!</v>
      </c>
      <c r="R68" s="242">
        <v>270</v>
      </c>
      <c r="S68" s="96" t="e">
        <f t="shared" si="16"/>
        <v>#REF!</v>
      </c>
    </row>
    <row r="69" spans="1:19" s="3" customFormat="1">
      <c r="A69" s="158" t="s">
        <v>93</v>
      </c>
      <c r="B69" s="172" t="s">
        <v>35</v>
      </c>
      <c r="C69" s="261" t="s">
        <v>140</v>
      </c>
      <c r="D69" s="283">
        <v>0.21</v>
      </c>
      <c r="E69" s="283">
        <v>4.4543612939999999</v>
      </c>
      <c r="F69" s="252">
        <v>4.244361294</v>
      </c>
      <c r="G69" s="252"/>
      <c r="H69" s="283">
        <v>158.56025589424996</v>
      </c>
      <c r="I69" s="283" t="e">
        <f>#REF!+E69+#REF!+#REF!+#REF!</f>
        <v>#REF!</v>
      </c>
      <c r="J69" s="21">
        <v>359.24974410574998</v>
      </c>
      <c r="K69" s="131" t="e">
        <f t="shared" si="18"/>
        <v>#REF!</v>
      </c>
      <c r="L69" s="53"/>
      <c r="M69" s="9"/>
      <c r="N69" s="53">
        <f t="shared" si="19"/>
        <v>158.56025589424996</v>
      </c>
      <c r="O69" s="9" t="e">
        <f>#REF!+E69+#REF!+#REF!+#REF!+M69</f>
        <v>#REF!</v>
      </c>
      <c r="P69" s="88" t="e">
        <f t="shared" si="22"/>
        <v>#REF!</v>
      </c>
      <c r="Q69" s="89" t="e">
        <f t="shared" si="23"/>
        <v>#REF!</v>
      </c>
      <c r="R69" s="242">
        <v>730.04826000000003</v>
      </c>
      <c r="S69" s="96" t="e">
        <f t="shared" si="16"/>
        <v>#REF!</v>
      </c>
    </row>
    <row r="70" spans="1:19" s="3" customFormat="1">
      <c r="A70" s="158" t="s">
        <v>94</v>
      </c>
      <c r="B70" s="172" t="s">
        <v>36</v>
      </c>
      <c r="C70" s="261" t="s">
        <v>140</v>
      </c>
      <c r="D70" s="283">
        <v>0</v>
      </c>
      <c r="E70" s="283">
        <v>16.015954699999998</v>
      </c>
      <c r="F70" s="252">
        <v>16.015954699999998</v>
      </c>
      <c r="G70" s="252"/>
      <c r="H70" s="283">
        <v>6.03</v>
      </c>
      <c r="I70" s="283" t="e">
        <f>#REF!+E70+#REF!+#REF!+#REF!</f>
        <v>#REF!</v>
      </c>
      <c r="J70" s="21">
        <v>18362.080000000002</v>
      </c>
      <c r="K70" s="131" t="e">
        <f t="shared" si="18"/>
        <v>#REF!</v>
      </c>
      <c r="L70" s="53"/>
      <c r="M70" s="9"/>
      <c r="N70" s="53">
        <f t="shared" si="19"/>
        <v>6.03</v>
      </c>
      <c r="O70" s="9" t="e">
        <f>#REF!+E70+#REF!+#REF!+#REF!+M70</f>
        <v>#REF!</v>
      </c>
      <c r="P70" s="21" t="e">
        <f t="shared" si="22"/>
        <v>#REF!</v>
      </c>
      <c r="Q70" s="54" t="e">
        <f t="shared" si="23"/>
        <v>#REF!</v>
      </c>
      <c r="R70" s="242">
        <v>5166.4369999999999</v>
      </c>
      <c r="S70" s="96" t="e">
        <f t="shared" si="16"/>
        <v>#REF!</v>
      </c>
    </row>
    <row r="71" spans="1:19" s="3" customFormat="1">
      <c r="A71" s="158" t="s">
        <v>95</v>
      </c>
      <c r="B71" s="172" t="s">
        <v>37</v>
      </c>
      <c r="C71" s="261" t="s">
        <v>140</v>
      </c>
      <c r="D71" s="283">
        <v>10.61</v>
      </c>
      <c r="E71" s="283">
        <v>2.7552552000000001</v>
      </c>
      <c r="F71" s="252">
        <v>-7.8547447999999989</v>
      </c>
      <c r="G71" s="252">
        <v>-74.031524976437311</v>
      </c>
      <c r="H71" s="283">
        <v>2071.5439200000001</v>
      </c>
      <c r="I71" s="283" t="e">
        <f>#REF!+E71+#REF!+#REF!+#REF!</f>
        <v>#REF!</v>
      </c>
      <c r="J71" s="21">
        <v>-1038.5439200000001</v>
      </c>
      <c r="K71" s="131" t="e">
        <f t="shared" si="18"/>
        <v>#REF!</v>
      </c>
      <c r="L71" s="53"/>
      <c r="M71" s="9"/>
      <c r="N71" s="53">
        <f t="shared" si="19"/>
        <v>2071.5439200000001</v>
      </c>
      <c r="O71" s="9" t="e">
        <f>#REF!+E71+#REF!+#REF!+#REF!+M71</f>
        <v>#REF!</v>
      </c>
      <c r="P71" s="21" t="e">
        <f t="shared" si="22"/>
        <v>#REF!</v>
      </c>
      <c r="Q71" s="54" t="e">
        <f t="shared" si="23"/>
        <v>#REF!</v>
      </c>
      <c r="R71" s="242">
        <v>998.79200000000003</v>
      </c>
      <c r="S71" s="96" t="e">
        <f t="shared" si="16"/>
        <v>#REF!</v>
      </c>
    </row>
    <row r="72" spans="1:19" s="3" customFormat="1">
      <c r="A72" s="158" t="s">
        <v>96</v>
      </c>
      <c r="B72" s="172" t="s">
        <v>38</v>
      </c>
      <c r="C72" s="261" t="s">
        <v>140</v>
      </c>
      <c r="D72" s="283">
        <v>0.84</v>
      </c>
      <c r="E72" s="283"/>
      <c r="F72" s="252">
        <v>-0.84</v>
      </c>
      <c r="G72" s="252">
        <v>-100</v>
      </c>
      <c r="H72" s="283">
        <v>123.42</v>
      </c>
      <c r="I72" s="283" t="e">
        <f>#REF!+E72+#REF!+#REF!+#REF!</f>
        <v>#REF!</v>
      </c>
      <c r="J72" s="21">
        <v>26.58</v>
      </c>
      <c r="K72" s="131" t="e">
        <f t="shared" si="18"/>
        <v>#REF!</v>
      </c>
      <c r="L72" s="53"/>
      <c r="M72" s="9"/>
      <c r="N72" s="53">
        <f t="shared" si="19"/>
        <v>123.42</v>
      </c>
      <c r="O72" s="9" t="e">
        <f>#REF!+E72+#REF!+#REF!+#REF!+M72</f>
        <v>#REF!</v>
      </c>
      <c r="P72" s="21" t="e">
        <f t="shared" si="22"/>
        <v>#REF!</v>
      </c>
      <c r="Q72" s="54" t="e">
        <f t="shared" si="23"/>
        <v>#REF!</v>
      </c>
      <c r="R72" s="242">
        <v>105</v>
      </c>
      <c r="S72" s="96" t="e">
        <f t="shared" si="16"/>
        <v>#REF!</v>
      </c>
    </row>
    <row r="73" spans="1:19" s="3" customFormat="1">
      <c r="A73" s="158" t="s">
        <v>97</v>
      </c>
      <c r="B73" s="172" t="s">
        <v>39</v>
      </c>
      <c r="C73" s="261" t="s">
        <v>140</v>
      </c>
      <c r="D73" s="283">
        <v>0.05</v>
      </c>
      <c r="E73" s="283"/>
      <c r="F73" s="252">
        <v>-0.05</v>
      </c>
      <c r="G73" s="252">
        <v>-100</v>
      </c>
      <c r="H73" s="283">
        <v>0</v>
      </c>
      <c r="I73" s="283" t="e">
        <f>#REF!+E73+#REF!+#REF!+#REF!</f>
        <v>#REF!</v>
      </c>
      <c r="J73" s="21">
        <v>7.98</v>
      </c>
      <c r="K73" s="131"/>
      <c r="L73" s="53"/>
      <c r="M73" s="9"/>
      <c r="N73" s="53">
        <f t="shared" si="19"/>
        <v>0</v>
      </c>
      <c r="O73" s="9" t="e">
        <f>#REF!+E73+#REF!+#REF!+#REF!+M73</f>
        <v>#REF!</v>
      </c>
      <c r="P73" s="21" t="e">
        <f t="shared" si="22"/>
        <v>#REF!</v>
      </c>
      <c r="Q73" s="54" t="e">
        <f t="shared" si="23"/>
        <v>#REF!</v>
      </c>
      <c r="R73" s="242"/>
      <c r="S73" s="96"/>
    </row>
    <row r="74" spans="1:19" s="3" customFormat="1">
      <c r="A74" s="158" t="s">
        <v>98</v>
      </c>
      <c r="B74" s="172" t="s">
        <v>40</v>
      </c>
      <c r="C74" s="261" t="s">
        <v>140</v>
      </c>
      <c r="D74" s="283">
        <v>3.3</v>
      </c>
      <c r="E74" s="283"/>
      <c r="F74" s="252">
        <v>-3.3</v>
      </c>
      <c r="G74" s="252">
        <v>-100</v>
      </c>
      <c r="H74" s="283">
        <v>907.64068592000001</v>
      </c>
      <c r="I74" s="283" t="e">
        <f>#REF!+E74+#REF!+#REF!+#REF!</f>
        <v>#REF!</v>
      </c>
      <c r="J74" s="21">
        <v>22.17931408000004</v>
      </c>
      <c r="K74" s="131" t="e">
        <f t="shared" si="18"/>
        <v>#REF!</v>
      </c>
      <c r="L74" s="53"/>
      <c r="M74" s="9"/>
      <c r="N74" s="53">
        <f t="shared" si="19"/>
        <v>907.64068592000001</v>
      </c>
      <c r="O74" s="9" t="e">
        <f>#REF!+E74+#REF!+#REF!+#REF!+M74</f>
        <v>#REF!</v>
      </c>
      <c r="P74" s="88" t="e">
        <f t="shared" si="22"/>
        <v>#REF!</v>
      </c>
      <c r="Q74" s="89" t="e">
        <f t="shared" si="23"/>
        <v>#REF!</v>
      </c>
      <c r="R74" s="242"/>
      <c r="S74" s="96"/>
    </row>
    <row r="75" spans="1:19" s="3" customFormat="1">
      <c r="A75" s="158" t="s">
        <v>99</v>
      </c>
      <c r="B75" s="172" t="s">
        <v>41</v>
      </c>
      <c r="C75" s="261" t="s">
        <v>140</v>
      </c>
      <c r="D75" s="283">
        <v>2.4750000000000001</v>
      </c>
      <c r="E75" s="283">
        <v>2.8395324819999996</v>
      </c>
      <c r="F75" s="252">
        <v>0.36453248199999955</v>
      </c>
      <c r="G75" s="252">
        <v>14.728585131313125</v>
      </c>
      <c r="H75" s="283">
        <v>527.39284000000009</v>
      </c>
      <c r="I75" s="283" t="e">
        <f>#REF!+E75+#REF!+#REF!+#REF!</f>
        <v>#REF!</v>
      </c>
      <c r="J75" s="21">
        <v>-11.80284000000006</v>
      </c>
      <c r="K75" s="131" t="e">
        <f t="shared" si="18"/>
        <v>#REF!</v>
      </c>
      <c r="L75" s="53"/>
      <c r="M75" s="9"/>
      <c r="N75" s="53">
        <f t="shared" si="19"/>
        <v>527.39284000000009</v>
      </c>
      <c r="O75" s="9" t="e">
        <f>#REF!+E75+#REF!+#REF!+#REF!+M75</f>
        <v>#REF!</v>
      </c>
      <c r="P75" s="21" t="e">
        <f t="shared" si="22"/>
        <v>#REF!</v>
      </c>
      <c r="Q75" s="54" t="e">
        <f t="shared" si="23"/>
        <v>#REF!</v>
      </c>
      <c r="R75" s="242">
        <v>880.66571999999996</v>
      </c>
      <c r="S75" s="96" t="e">
        <f t="shared" si="16"/>
        <v>#REF!</v>
      </c>
    </row>
    <row r="76" spans="1:19" s="3" customFormat="1" hidden="1">
      <c r="A76" s="158" t="s">
        <v>100</v>
      </c>
      <c r="B76" s="172" t="s">
        <v>43</v>
      </c>
      <c r="C76" s="261" t="s">
        <v>140</v>
      </c>
      <c r="D76" s="283"/>
      <c r="E76" s="283"/>
      <c r="F76" s="252"/>
      <c r="G76" s="252"/>
      <c r="H76" s="283">
        <v>846.40967161108404</v>
      </c>
      <c r="I76" s="283" t="e">
        <f>#REF!+E76+#REF!+#REF!+#REF!</f>
        <v>#REF!</v>
      </c>
      <c r="J76" s="21">
        <v>7046.650328388916</v>
      </c>
      <c r="K76" s="131" t="e">
        <f t="shared" si="18"/>
        <v>#REF!</v>
      </c>
      <c r="L76" s="53"/>
      <c r="M76" s="9"/>
      <c r="N76" s="53">
        <f t="shared" si="19"/>
        <v>846.40967161108404</v>
      </c>
      <c r="O76" s="9" t="e">
        <f>#REF!+E76+#REF!+#REF!+#REF!+M76</f>
        <v>#REF!</v>
      </c>
      <c r="P76" s="21" t="e">
        <f t="shared" si="22"/>
        <v>#REF!</v>
      </c>
      <c r="Q76" s="54" t="e">
        <f t="shared" si="23"/>
        <v>#REF!</v>
      </c>
      <c r="R76" s="242">
        <v>52.25</v>
      </c>
      <c r="S76" s="96" t="e">
        <f t="shared" si="16"/>
        <v>#REF!</v>
      </c>
    </row>
    <row r="77" spans="1:19" s="3" customFormat="1" hidden="1">
      <c r="A77" s="158" t="s">
        <v>101</v>
      </c>
      <c r="B77" s="172" t="s">
        <v>44</v>
      </c>
      <c r="C77" s="261" t="s">
        <v>140</v>
      </c>
      <c r="D77" s="283"/>
      <c r="E77" s="283"/>
      <c r="F77" s="252"/>
      <c r="G77" s="252"/>
      <c r="H77" s="283">
        <v>5</v>
      </c>
      <c r="I77" s="283" t="e">
        <f>#REF!+E77+#REF!+#REF!+#REF!</f>
        <v>#REF!</v>
      </c>
      <c r="J77" s="21">
        <v>3761.49</v>
      </c>
      <c r="K77" s="131" t="e">
        <f t="shared" si="18"/>
        <v>#REF!</v>
      </c>
      <c r="L77" s="53"/>
      <c r="M77" s="9"/>
      <c r="N77" s="53">
        <f t="shared" si="19"/>
        <v>5</v>
      </c>
      <c r="O77" s="9" t="e">
        <f>#REF!+E77+#REF!+#REF!+#REF!+M77</f>
        <v>#REF!</v>
      </c>
      <c r="P77" s="21" t="e">
        <f t="shared" si="22"/>
        <v>#REF!</v>
      </c>
      <c r="Q77" s="54" t="e">
        <f t="shared" si="23"/>
        <v>#REF!</v>
      </c>
      <c r="R77" s="242">
        <v>133.92898000000002</v>
      </c>
      <c r="S77" s="96" t="e">
        <f t="shared" si="16"/>
        <v>#REF!</v>
      </c>
    </row>
    <row r="78" spans="1:19" s="3" customFormat="1" ht="31.5">
      <c r="A78" s="158" t="s">
        <v>102</v>
      </c>
      <c r="B78" s="172" t="s">
        <v>46</v>
      </c>
      <c r="C78" s="261" t="s">
        <v>140</v>
      </c>
      <c r="D78" s="283">
        <v>0.72</v>
      </c>
      <c r="E78" s="283">
        <v>2.2516043999999997</v>
      </c>
      <c r="F78" s="252">
        <v>1.5316043999999998</v>
      </c>
      <c r="G78" s="252">
        <v>212.72283333333331</v>
      </c>
      <c r="H78" s="283">
        <v>1853.8739650520001</v>
      </c>
      <c r="I78" s="283" t="e">
        <f>#REF!+E78+#REF!+#REF!+#REF!</f>
        <v>#REF!</v>
      </c>
      <c r="J78" s="21">
        <v>83.346034947999897</v>
      </c>
      <c r="K78" s="131" t="e">
        <f t="shared" si="18"/>
        <v>#REF!</v>
      </c>
      <c r="L78" s="53"/>
      <c r="M78" s="9"/>
      <c r="N78" s="53">
        <f t="shared" si="19"/>
        <v>1853.8739650520001</v>
      </c>
      <c r="O78" s="9" t="e">
        <f>#REF!+E78+#REF!+#REF!+#REF!+M78</f>
        <v>#REF!</v>
      </c>
      <c r="P78" s="21" t="e">
        <f t="shared" si="22"/>
        <v>#REF!</v>
      </c>
      <c r="Q78" s="54" t="e">
        <f t="shared" si="23"/>
        <v>#REF!</v>
      </c>
      <c r="R78" s="242">
        <v>726.32399999999996</v>
      </c>
      <c r="S78" s="96" t="e">
        <f t="shared" si="16"/>
        <v>#REF!</v>
      </c>
    </row>
    <row r="79" spans="1:19" s="3" customFormat="1" hidden="1">
      <c r="A79" s="158" t="s">
        <v>103</v>
      </c>
      <c r="B79" s="172" t="s">
        <v>42</v>
      </c>
      <c r="C79" s="261" t="s">
        <v>140</v>
      </c>
      <c r="D79" s="283">
        <v>0</v>
      </c>
      <c r="E79" s="283"/>
      <c r="F79" s="252"/>
      <c r="G79" s="252"/>
      <c r="H79" s="283">
        <v>7450</v>
      </c>
      <c r="I79" s="283" t="e">
        <f>#REF!+E79+#REF!+#REF!+#REF!</f>
        <v>#REF!</v>
      </c>
      <c r="J79" s="21">
        <v>0</v>
      </c>
      <c r="K79" s="131" t="e">
        <f t="shared" si="18"/>
        <v>#REF!</v>
      </c>
      <c r="L79" s="53"/>
      <c r="M79" s="9"/>
      <c r="N79" s="53">
        <f t="shared" si="19"/>
        <v>7450</v>
      </c>
      <c r="O79" s="9" t="e">
        <f>#REF!+E79+#REF!+#REF!+#REF!+M79</f>
        <v>#REF!</v>
      </c>
      <c r="P79" s="21" t="e">
        <f t="shared" si="22"/>
        <v>#REF!</v>
      </c>
      <c r="Q79" s="54" t="e">
        <f t="shared" si="23"/>
        <v>#REF!</v>
      </c>
      <c r="R79" s="242"/>
      <c r="S79" s="96"/>
    </row>
    <row r="80" spans="1:19" s="3" customFormat="1" hidden="1">
      <c r="A80" s="158" t="s">
        <v>104</v>
      </c>
      <c r="B80" s="172" t="s">
        <v>45</v>
      </c>
      <c r="C80" s="261" t="s">
        <v>140</v>
      </c>
      <c r="D80" s="283">
        <v>185.8</v>
      </c>
      <c r="E80" s="283"/>
      <c r="F80" s="252"/>
      <c r="G80" s="252"/>
      <c r="H80" s="283">
        <v>80.483000000000004</v>
      </c>
      <c r="I80" s="283" t="e">
        <f>#REF!+E80+#REF!+#REF!+#REF!</f>
        <v>#REF!</v>
      </c>
      <c r="J80" s="21">
        <v>-3.0000000000001137E-3</v>
      </c>
      <c r="K80" s="131" t="e">
        <f t="shared" si="18"/>
        <v>#REF!</v>
      </c>
      <c r="L80" s="53"/>
      <c r="M80" s="9"/>
      <c r="N80" s="53">
        <f t="shared" si="19"/>
        <v>80.483000000000004</v>
      </c>
      <c r="O80" s="9" t="e">
        <f>#REF!+E80+#REF!+#REF!+#REF!+M80</f>
        <v>#REF!</v>
      </c>
      <c r="P80" s="21" t="e">
        <f t="shared" si="22"/>
        <v>#REF!</v>
      </c>
      <c r="Q80" s="54" t="e">
        <f t="shared" si="23"/>
        <v>#REF!</v>
      </c>
      <c r="R80" s="242"/>
      <c r="S80" s="96"/>
    </row>
    <row r="81" spans="1:19" s="39" customFormat="1" hidden="1">
      <c r="A81" s="161"/>
      <c r="B81" s="174" t="s">
        <v>126</v>
      </c>
      <c r="C81" s="263" t="s">
        <v>140</v>
      </c>
      <c r="D81" s="289"/>
      <c r="E81" s="301">
        <v>3.0999999999999999E-3</v>
      </c>
      <c r="F81" s="290"/>
      <c r="G81" s="291"/>
      <c r="H81" s="292"/>
      <c r="I81" s="292"/>
      <c r="J81" s="76"/>
      <c r="K81" s="131"/>
      <c r="L81" s="68"/>
      <c r="M81" s="38"/>
      <c r="N81" s="69">
        <f>H81+L81</f>
        <v>0</v>
      </c>
      <c r="O81" s="26"/>
      <c r="P81" s="21"/>
      <c r="Q81" s="54"/>
      <c r="R81" s="242"/>
      <c r="S81" s="96"/>
    </row>
    <row r="82" spans="1:19">
      <c r="A82" s="157" t="s">
        <v>155</v>
      </c>
      <c r="B82" s="169" t="s">
        <v>47</v>
      </c>
      <c r="C82" s="257"/>
      <c r="D82" s="280"/>
      <c r="E82" s="280"/>
      <c r="F82" s="281"/>
      <c r="G82" s="282"/>
      <c r="H82" s="280"/>
      <c r="I82" s="280"/>
      <c r="J82" s="31"/>
      <c r="K82" s="31"/>
      <c r="L82" s="44"/>
      <c r="M82" s="11"/>
      <c r="N82" s="44"/>
      <c r="O82" s="11"/>
      <c r="P82" s="31">
        <f>O82-N82</f>
        <v>0</v>
      </c>
      <c r="Q82" s="61"/>
      <c r="R82" s="242"/>
      <c r="S82" s="96"/>
    </row>
    <row r="83" spans="1:19">
      <c r="A83" s="159" t="s">
        <v>48</v>
      </c>
      <c r="B83" s="173" t="s">
        <v>49</v>
      </c>
      <c r="C83" s="260" t="s">
        <v>140</v>
      </c>
      <c r="D83" s="277">
        <v>1087859.94</v>
      </c>
      <c r="E83" s="277">
        <v>733733.60303985211</v>
      </c>
      <c r="F83" s="278">
        <v>-354126.33696014783</v>
      </c>
      <c r="G83" s="279">
        <v>-32.552567103458912</v>
      </c>
      <c r="H83" s="277" t="e">
        <f>H20+H47</f>
        <v>#REF!</v>
      </c>
      <c r="I83" s="277" t="e">
        <f>I20+I47</f>
        <v>#REF!</v>
      </c>
      <c r="J83" s="30" t="e">
        <f>I83-H83</f>
        <v>#REF!</v>
      </c>
      <c r="K83" s="30" t="e">
        <f>I83/H83*100-100</f>
        <v>#REF!</v>
      </c>
      <c r="L83" s="43">
        <f>L87</f>
        <v>256332.14</v>
      </c>
      <c r="M83" s="10">
        <f>M20+M47</f>
        <v>704941.21</v>
      </c>
      <c r="N83" s="43" t="e">
        <f>N20+N47</f>
        <v>#REF!</v>
      </c>
      <c r="O83" s="10" t="e">
        <f>O20+O47</f>
        <v>#REF!</v>
      </c>
      <c r="P83" s="30" t="e">
        <f>O83-N83</f>
        <v>#REF!</v>
      </c>
      <c r="Q83" s="62" t="e">
        <f>O83/N83*100-100</f>
        <v>#REF!</v>
      </c>
      <c r="R83" s="242"/>
    </row>
    <row r="84" spans="1:19" s="36" customFormat="1">
      <c r="A84" s="158" t="s">
        <v>50</v>
      </c>
      <c r="B84" s="170" t="s">
        <v>156</v>
      </c>
      <c r="C84" s="255" t="s">
        <v>140</v>
      </c>
      <c r="D84" s="293">
        <v>1137.3</v>
      </c>
      <c r="E84" s="293"/>
      <c r="F84" s="294">
        <v>-1137.3</v>
      </c>
      <c r="G84" s="294">
        <v>-100</v>
      </c>
      <c r="H84" s="293" t="e">
        <f>#REF!+D84+#REF!+#REF!+#REF!</f>
        <v>#REF!</v>
      </c>
      <c r="I84" s="293" t="e">
        <f>#REF!+E84+#REF!+#REF!</f>
        <v>#REF!</v>
      </c>
      <c r="J84" s="85" t="e">
        <f>I84-H84</f>
        <v>#REF!</v>
      </c>
      <c r="K84" s="85" t="e">
        <f>I84/H84*100-100</f>
        <v>#REF!</v>
      </c>
      <c r="L84" s="56"/>
      <c r="M84" s="13"/>
      <c r="N84" s="53" t="e">
        <f>H84+L84</f>
        <v>#REF!</v>
      </c>
      <c r="O84" s="9" t="e">
        <f>I84+M84</f>
        <v>#REF!</v>
      </c>
      <c r="P84" s="21" t="e">
        <f>O84-N84</f>
        <v>#REF!</v>
      </c>
      <c r="Q84" s="54" t="e">
        <f>O84/N84*100-100</f>
        <v>#REF!</v>
      </c>
      <c r="R84" s="242"/>
    </row>
    <row r="85" spans="1:19" s="36" customFormat="1" ht="31.5">
      <c r="A85" s="302" t="s">
        <v>105</v>
      </c>
      <c r="B85" s="171" t="s">
        <v>106</v>
      </c>
      <c r="C85" s="259" t="s">
        <v>140</v>
      </c>
      <c r="D85" s="283">
        <v>5066.2700000000004</v>
      </c>
      <c r="E85" s="283"/>
      <c r="F85" s="252">
        <v>-5066.2700000000004</v>
      </c>
      <c r="G85" s="252">
        <v>-100</v>
      </c>
      <c r="H85" s="283" t="e">
        <f>#REF!+D85+#REF!+#REF!+#REF!</f>
        <v>#REF!</v>
      </c>
      <c r="I85" s="293"/>
      <c r="J85" s="85" t="e">
        <f>I85-H85</f>
        <v>#REF!</v>
      </c>
      <c r="K85" s="85" t="e">
        <f>I85/H85*100-100</f>
        <v>#REF!</v>
      </c>
      <c r="L85" s="53"/>
      <c r="M85" s="9"/>
      <c r="N85" s="53" t="e">
        <f>H85+L85</f>
        <v>#REF!</v>
      </c>
      <c r="O85" s="9">
        <f>I85+M85</f>
        <v>0</v>
      </c>
      <c r="P85" s="21" t="e">
        <f>O85-N85</f>
        <v>#REF!</v>
      </c>
      <c r="Q85" s="54" t="e">
        <f>O85/N85*100-100</f>
        <v>#REF!</v>
      </c>
      <c r="R85" s="242"/>
    </row>
    <row r="86" spans="1:19" s="138" customFormat="1">
      <c r="A86" s="162"/>
      <c r="B86" s="175"/>
      <c r="C86" s="264"/>
      <c r="D86" s="296"/>
      <c r="E86" s="296"/>
      <c r="F86" s="297"/>
      <c r="G86" s="297"/>
      <c r="H86" s="296"/>
      <c r="I86" s="298"/>
      <c r="J86" s="135"/>
      <c r="K86" s="135"/>
      <c r="L86" s="134"/>
      <c r="M86" s="133"/>
      <c r="N86" s="134"/>
      <c r="O86" s="139"/>
      <c r="P86" s="136"/>
      <c r="Q86" s="137"/>
      <c r="R86" s="242"/>
    </row>
    <row r="87" spans="1:19">
      <c r="A87" s="159" t="s">
        <v>51</v>
      </c>
      <c r="B87" s="173" t="s">
        <v>52</v>
      </c>
      <c r="C87" s="260" t="s">
        <v>140</v>
      </c>
      <c r="D87" s="277">
        <v>1088997.24</v>
      </c>
      <c r="E87" s="277">
        <v>733733.60303985211</v>
      </c>
      <c r="F87" s="278">
        <v>-355263.63696014788</v>
      </c>
      <c r="G87" s="279">
        <v>-32.623006185043025</v>
      </c>
      <c r="H87" s="277" t="e">
        <f>H83+H84</f>
        <v>#REF!</v>
      </c>
      <c r="I87" s="277" t="e">
        <f>I83+I84+I86</f>
        <v>#REF!</v>
      </c>
      <c r="J87" s="30" t="e">
        <f>I87-H87</f>
        <v>#REF!</v>
      </c>
      <c r="K87" s="30" t="e">
        <f>I87/H87*100-100</f>
        <v>#REF!</v>
      </c>
      <c r="L87" s="43">
        <v>256332.14</v>
      </c>
      <c r="M87" s="10">
        <f>M83+M84</f>
        <v>704941.21</v>
      </c>
      <c r="N87" s="43" t="e">
        <f>N83+N84</f>
        <v>#REF!</v>
      </c>
      <c r="O87" s="10" t="e">
        <f>O83+O84+O86</f>
        <v>#REF!</v>
      </c>
      <c r="P87" s="30" t="e">
        <f>O87-N87</f>
        <v>#REF!</v>
      </c>
      <c r="Q87" s="62" t="e">
        <f>O87/N87*100-100</f>
        <v>#REF!</v>
      </c>
      <c r="R87" s="242">
        <f>51139983.27/1000</f>
        <v>51139.983270000004</v>
      </c>
    </row>
    <row r="88" spans="1:19" ht="31.5">
      <c r="A88" s="302" t="s">
        <v>53</v>
      </c>
      <c r="B88" s="171" t="s">
        <v>54</v>
      </c>
      <c r="C88" s="150" t="s">
        <v>157</v>
      </c>
      <c r="D88" s="101">
        <v>1029.23</v>
      </c>
      <c r="E88" s="9">
        <v>668.55893999999989</v>
      </c>
      <c r="F88" s="21">
        <v>-360.67106000000013</v>
      </c>
      <c r="G88" s="55">
        <v>-35.04280481525025</v>
      </c>
      <c r="H88" s="53"/>
      <c r="I88" s="9"/>
      <c r="J88" s="21"/>
      <c r="K88" s="21"/>
      <c r="L88" s="129">
        <v>2307.61</v>
      </c>
      <c r="M88" s="107">
        <v>2307.61</v>
      </c>
      <c r="N88" s="53"/>
      <c r="O88" s="9"/>
      <c r="P88" s="21"/>
      <c r="Q88" s="54"/>
      <c r="R88" s="242" t="e">
        <f>I87+R87</f>
        <v>#REF!</v>
      </c>
      <c r="S88" s="242"/>
    </row>
    <row r="89" spans="1:19" ht="18.75">
      <c r="A89" s="371" t="s">
        <v>107</v>
      </c>
      <c r="B89" s="372" t="s">
        <v>108</v>
      </c>
      <c r="C89" s="150" t="s">
        <v>109</v>
      </c>
      <c r="D89" s="102"/>
      <c r="E89" s="9"/>
      <c r="F89" s="21">
        <v>0</v>
      </c>
      <c r="G89" s="55"/>
      <c r="H89" s="53"/>
      <c r="I89" s="9"/>
      <c r="J89" s="21"/>
      <c r="K89" s="21"/>
      <c r="L89" s="53"/>
      <c r="M89" s="9"/>
      <c r="N89" s="53">
        <f>H89+L89</f>
        <v>0</v>
      </c>
      <c r="O89" s="9"/>
      <c r="P89" s="21"/>
      <c r="Q89" s="54"/>
      <c r="R89" s="244">
        <f>164012721.37/1000</f>
        <v>164012.72137000001</v>
      </c>
      <c r="S89" s="83"/>
    </row>
    <row r="90" spans="1:19" ht="18.75">
      <c r="A90" s="371"/>
      <c r="B90" s="372"/>
      <c r="C90" s="150" t="s">
        <v>157</v>
      </c>
      <c r="D90" s="102"/>
      <c r="E90" s="9"/>
      <c r="F90" s="21">
        <v>0</v>
      </c>
      <c r="G90" s="55"/>
      <c r="H90" s="53"/>
      <c r="I90" s="9"/>
      <c r="J90" s="21"/>
      <c r="K90" s="21"/>
      <c r="L90" s="53"/>
      <c r="M90" s="9"/>
      <c r="N90" s="53">
        <f>H90+L90</f>
        <v>0</v>
      </c>
      <c r="O90" s="9"/>
      <c r="P90" s="21"/>
      <c r="Q90" s="54"/>
      <c r="R90" s="242" t="e">
        <f>R89-R88</f>
        <v>#REF!</v>
      </c>
      <c r="S90" s="83"/>
    </row>
    <row r="91" spans="1:19" ht="18.75" hidden="1">
      <c r="A91" s="302"/>
      <c r="B91" s="303" t="s">
        <v>158</v>
      </c>
      <c r="C91" s="150"/>
      <c r="D91" s="102">
        <v>107272.69</v>
      </c>
      <c r="E91" s="9"/>
      <c r="F91" s="21">
        <v>-107272.69</v>
      </c>
      <c r="G91" s="55">
        <v>-100</v>
      </c>
      <c r="H91" s="53"/>
      <c r="I91" s="12"/>
      <c r="J91" s="41"/>
      <c r="K91" s="41"/>
      <c r="L91" s="67"/>
      <c r="M91" s="12"/>
      <c r="N91" s="53">
        <f>H91+L91</f>
        <v>0</v>
      </c>
      <c r="O91" s="9">
        <f>I91+M91</f>
        <v>0</v>
      </c>
      <c r="P91" s="21">
        <f>O91-N91</f>
        <v>0</v>
      </c>
      <c r="Q91" s="54" t="e">
        <f>O91/N91*100-100</f>
        <v>#DIV/0!</v>
      </c>
      <c r="R91" s="242"/>
    </row>
    <row r="92" spans="1:19">
      <c r="A92" s="163" t="s">
        <v>55</v>
      </c>
      <c r="B92" s="176" t="s">
        <v>56</v>
      </c>
      <c r="C92" s="151" t="s">
        <v>172</v>
      </c>
      <c r="D92" s="45">
        <v>953.84369868736826</v>
      </c>
      <c r="E92" s="14">
        <v>1097.485291334003</v>
      </c>
      <c r="F92" s="32">
        <v>143.64159264663476</v>
      </c>
      <c r="G92" s="57">
        <v>15.059237990910574</v>
      </c>
      <c r="H92" s="45"/>
      <c r="I92" s="14"/>
      <c r="J92" s="32"/>
      <c r="K92" s="32"/>
      <c r="L92" s="45">
        <f>L87/L88</f>
        <v>111.08122256360477</v>
      </c>
      <c r="M92" s="14">
        <f>M87/M88</f>
        <v>305.48541997997927</v>
      </c>
      <c r="N92" s="45"/>
      <c r="O92" s="14"/>
      <c r="P92" s="32"/>
      <c r="Q92" s="63"/>
      <c r="R92" s="242"/>
    </row>
    <row r="93" spans="1:19" hidden="1">
      <c r="A93" s="152" t="s">
        <v>57</v>
      </c>
      <c r="B93" s="152"/>
      <c r="C93" s="152"/>
      <c r="D93" s="53"/>
      <c r="E93" s="9"/>
      <c r="F93" s="21"/>
      <c r="G93" s="54"/>
      <c r="H93" s="53"/>
      <c r="I93" s="9"/>
      <c r="J93" s="21"/>
      <c r="K93" s="21"/>
      <c r="L93" s="53"/>
      <c r="M93" s="9"/>
      <c r="N93" s="53"/>
      <c r="O93" s="9"/>
      <c r="P93" s="21"/>
      <c r="Q93" s="54"/>
      <c r="R93" s="242"/>
    </row>
    <row r="94" spans="1:19" ht="31.5" hidden="1">
      <c r="A94" s="157">
        <v>8</v>
      </c>
      <c r="B94" s="169" t="s">
        <v>58</v>
      </c>
      <c r="C94" s="149" t="s">
        <v>59</v>
      </c>
      <c r="D94" s="46">
        <v>26</v>
      </c>
      <c r="E94" s="15">
        <f>E96+E97</f>
        <v>0</v>
      </c>
      <c r="F94" s="33">
        <f>E94-D94</f>
        <v>-26</v>
      </c>
      <c r="G94" s="64">
        <f>E94/D94*100-100</f>
        <v>-100</v>
      </c>
      <c r="H94" s="46" t="e">
        <f>H96+H97</f>
        <v>#REF!</v>
      </c>
      <c r="I94" s="15" t="e">
        <f>I96+I97</f>
        <v>#REF!</v>
      </c>
      <c r="J94" s="33" t="e">
        <f t="shared" ref="J94:J100" si="24">I94-H94</f>
        <v>#REF!</v>
      </c>
      <c r="K94" s="33" t="e">
        <f>I94/H94*100-100</f>
        <v>#REF!</v>
      </c>
      <c r="L94" s="46"/>
      <c r="M94" s="15"/>
      <c r="N94" s="218" t="e">
        <f>N96+N97</f>
        <v>#REF!</v>
      </c>
      <c r="O94" s="219" t="e">
        <f>O96+O97</f>
        <v>#REF!</v>
      </c>
      <c r="P94" s="70" t="e">
        <f>O94-N94</f>
        <v>#REF!</v>
      </c>
      <c r="Q94" s="220" t="e">
        <f>O94/N94*100-100</f>
        <v>#REF!</v>
      </c>
      <c r="R94" s="242"/>
    </row>
    <row r="95" spans="1:19" hidden="1">
      <c r="A95" s="164"/>
      <c r="B95" s="171" t="s">
        <v>60</v>
      </c>
      <c r="C95" s="150"/>
      <c r="D95" s="47"/>
      <c r="E95" s="16"/>
      <c r="F95" s="34"/>
      <c r="G95" s="65"/>
      <c r="H95" s="47"/>
      <c r="I95" s="16"/>
      <c r="J95" s="34">
        <f t="shared" si="24"/>
        <v>0</v>
      </c>
      <c r="K95" s="34"/>
      <c r="L95" s="47"/>
      <c r="M95" s="16"/>
      <c r="N95" s="221"/>
      <c r="O95" s="222"/>
      <c r="P95" s="223"/>
      <c r="Q95" s="224"/>
      <c r="R95" s="242"/>
    </row>
    <row r="96" spans="1:19" hidden="1">
      <c r="A96" s="164" t="s">
        <v>110</v>
      </c>
      <c r="B96" s="171" t="s">
        <v>61</v>
      </c>
      <c r="C96" s="150" t="s">
        <v>159</v>
      </c>
      <c r="D96" s="48">
        <v>25</v>
      </c>
      <c r="E96" s="17"/>
      <c r="F96" s="35">
        <v>0</v>
      </c>
      <c r="G96" s="66">
        <v>0</v>
      </c>
      <c r="H96" s="53" t="e">
        <f>#REF!+D96+#REF!+#REF!+#REF!</f>
        <v>#REF!</v>
      </c>
      <c r="I96" s="9" t="e">
        <f>#REF!+E96+#REF!+#REF!+#REF!</f>
        <v>#REF!</v>
      </c>
      <c r="J96" s="21" t="e">
        <f t="shared" si="24"/>
        <v>#REF!</v>
      </c>
      <c r="K96" s="21" t="e">
        <f>I96/H96*100-100</f>
        <v>#REF!</v>
      </c>
      <c r="L96" s="48"/>
      <c r="M96" s="17"/>
      <c r="N96" s="225" t="e">
        <f>H96+L96</f>
        <v>#REF!</v>
      </c>
      <c r="O96" s="226" t="e">
        <f>I96+M96</f>
        <v>#REF!</v>
      </c>
      <c r="P96" s="227" t="e">
        <f>O96-N96</f>
        <v>#REF!</v>
      </c>
      <c r="Q96" s="228" t="e">
        <f>O96/N96*100-100</f>
        <v>#REF!</v>
      </c>
      <c r="R96" s="242"/>
    </row>
    <row r="97" spans="1:18" hidden="1">
      <c r="A97" s="164" t="s">
        <v>111</v>
      </c>
      <c r="B97" s="171" t="s">
        <v>62</v>
      </c>
      <c r="C97" s="150" t="s">
        <v>159</v>
      </c>
      <c r="D97" s="48">
        <v>1</v>
      </c>
      <c r="E97" s="17"/>
      <c r="F97" s="35">
        <v>0</v>
      </c>
      <c r="G97" s="66">
        <v>0</v>
      </c>
      <c r="H97" s="53" t="e">
        <f>#REF!+D97+#REF!+#REF!+#REF!</f>
        <v>#REF!</v>
      </c>
      <c r="I97" s="9" t="e">
        <f>#REF!+E97+#REF!+#REF!+#REF!</f>
        <v>#REF!</v>
      </c>
      <c r="J97" s="21" t="e">
        <f t="shared" si="24"/>
        <v>#REF!</v>
      </c>
      <c r="K97" s="21" t="e">
        <f>I97/H97*100-100</f>
        <v>#REF!</v>
      </c>
      <c r="L97" s="48"/>
      <c r="M97" s="17"/>
      <c r="N97" s="225" t="e">
        <f>H97+L97</f>
        <v>#REF!</v>
      </c>
      <c r="O97" s="226" t="e">
        <f>I97+M97</f>
        <v>#REF!</v>
      </c>
      <c r="P97" s="227" t="e">
        <f>O97-N97</f>
        <v>#REF!</v>
      </c>
      <c r="Q97" s="228" t="e">
        <f>O97/N97*100-100</f>
        <v>#REF!</v>
      </c>
      <c r="R97" s="242"/>
    </row>
    <row r="98" spans="1:18" ht="31.5" hidden="1">
      <c r="A98" s="157">
        <v>9</v>
      </c>
      <c r="B98" s="169" t="s">
        <v>160</v>
      </c>
      <c r="C98" s="149" t="s">
        <v>63</v>
      </c>
      <c r="D98" s="46">
        <v>135530.76923076922</v>
      </c>
      <c r="E98" s="15" t="e">
        <f>(E28+E49)/E94/8*1000</f>
        <v>#DIV/0!</v>
      </c>
      <c r="F98" s="33" t="e">
        <f>E98-D98</f>
        <v>#DIV/0!</v>
      </c>
      <c r="G98" s="64" t="e">
        <f>E98/D98*100-100</f>
        <v>#DIV/0!</v>
      </c>
      <c r="H98" s="46" t="e">
        <f>(H28+H49)/H94/12*1000</f>
        <v>#REF!</v>
      </c>
      <c r="I98" s="15" t="e">
        <f>(I28+I49)/I94/12*1000</f>
        <v>#REF!</v>
      </c>
      <c r="J98" s="33" t="e">
        <f t="shared" si="24"/>
        <v>#REF!</v>
      </c>
      <c r="K98" s="33" t="e">
        <f>I98/H98*100-100</f>
        <v>#REF!</v>
      </c>
      <c r="L98" s="46"/>
      <c r="M98" s="15"/>
      <c r="N98" s="218" t="e">
        <f>(N28+N49)/N94/12*1000</f>
        <v>#REF!</v>
      </c>
      <c r="O98" s="219" t="e">
        <f>(O28+O49)/O94/12*1000</f>
        <v>#REF!</v>
      </c>
      <c r="P98" s="70" t="e">
        <f>O98-N98</f>
        <v>#REF!</v>
      </c>
      <c r="Q98" s="220" t="e">
        <f>O98/N98*100-100</f>
        <v>#REF!</v>
      </c>
      <c r="R98" s="242"/>
    </row>
    <row r="99" spans="1:18" hidden="1">
      <c r="A99" s="164" t="s">
        <v>112</v>
      </c>
      <c r="B99" s="171" t="s">
        <v>161</v>
      </c>
      <c r="C99" s="150" t="s">
        <v>159</v>
      </c>
      <c r="D99" s="146">
        <f>D28/12/D96*1000</f>
        <v>141120</v>
      </c>
      <c r="E99" s="17" t="e">
        <f>E28/12/E96*1000</f>
        <v>#DIV/0!</v>
      </c>
      <c r="F99" s="35" t="e">
        <f>E99-D99</f>
        <v>#DIV/0!</v>
      </c>
      <c r="G99" s="66" t="e">
        <f>E99/D99*100-100</f>
        <v>#DIV/0!</v>
      </c>
      <c r="H99" s="48" t="e">
        <f>H28/12/H96*1000</f>
        <v>#REF!</v>
      </c>
      <c r="I99" s="17" t="e">
        <f>I28/12/I96*1000</f>
        <v>#REF!</v>
      </c>
      <c r="J99" s="35" t="e">
        <f t="shared" si="24"/>
        <v>#REF!</v>
      </c>
      <c r="K99" s="35" t="e">
        <f>I99/H99*100-100</f>
        <v>#REF!</v>
      </c>
      <c r="L99" s="48"/>
      <c r="M99" s="17"/>
      <c r="N99" s="229" t="e">
        <f>N28/12/N96*1000</f>
        <v>#REF!</v>
      </c>
      <c r="O99" s="230" t="e">
        <f>O28/12/O96*1000</f>
        <v>#REF!</v>
      </c>
      <c r="P99" s="227" t="e">
        <f>O99-N99</f>
        <v>#REF!</v>
      </c>
      <c r="Q99" s="228" t="e">
        <f>O99/N99*100-100</f>
        <v>#REF!</v>
      </c>
      <c r="R99" s="242"/>
    </row>
    <row r="100" spans="1:18" ht="16.5" hidden="1" thickBot="1">
      <c r="A100" s="165" t="s">
        <v>113</v>
      </c>
      <c r="B100" s="177" t="s">
        <v>162</v>
      </c>
      <c r="C100" s="153" t="s">
        <v>159</v>
      </c>
      <c r="D100" s="146">
        <f>D49/12/D97*1000</f>
        <v>171990</v>
      </c>
      <c r="E100" s="50" t="e">
        <f>E49/12/E97*1000</f>
        <v>#DIV/0!</v>
      </c>
      <c r="F100" s="51" t="e">
        <f>E100-D100</f>
        <v>#DIV/0!</v>
      </c>
      <c r="G100" s="99" t="e">
        <f>E100/D100*100-100</f>
        <v>#DIV/0!</v>
      </c>
      <c r="H100" s="49" t="e">
        <f>H49/12/H97*1000</f>
        <v>#REF!</v>
      </c>
      <c r="I100" s="50" t="e">
        <f>I49/12/I97*1000</f>
        <v>#REF!</v>
      </c>
      <c r="J100" s="51" t="e">
        <f t="shared" si="24"/>
        <v>#REF!</v>
      </c>
      <c r="K100" s="51" t="e">
        <f>I100/H100*100-100</f>
        <v>#REF!</v>
      </c>
      <c r="L100" s="49"/>
      <c r="M100" s="50"/>
      <c r="N100" s="231" t="e">
        <f>N29/12/N97*1000</f>
        <v>#REF!</v>
      </c>
      <c r="O100" s="232" t="e">
        <f>O29/12/O97*1000</f>
        <v>#REF!</v>
      </c>
      <c r="P100" s="233" t="e">
        <f>O100-N100</f>
        <v>#REF!</v>
      </c>
      <c r="Q100" s="234" t="e">
        <f>O100/N100*100-100</f>
        <v>#REF!</v>
      </c>
      <c r="R100" s="242"/>
    </row>
    <row r="101" spans="1:18">
      <c r="D101" s="20"/>
    </row>
    <row r="102" spans="1:18" ht="18.75" hidden="1">
      <c r="B102" s="1" t="s">
        <v>184</v>
      </c>
      <c r="D102" s="20"/>
    </row>
    <row r="103" spans="1:18" ht="18.75" hidden="1">
      <c r="B103" s="1" t="s">
        <v>185</v>
      </c>
      <c r="D103" s="20"/>
    </row>
    <row r="104" spans="1:18" ht="18.75" hidden="1">
      <c r="B104" s="1" t="s">
        <v>186</v>
      </c>
      <c r="D104" s="20"/>
    </row>
    <row r="105" spans="1:18" ht="18.75" hidden="1">
      <c r="B105" s="1" t="s">
        <v>187</v>
      </c>
      <c r="D105" s="20"/>
    </row>
    <row r="106" spans="1:18" ht="18.75" hidden="1">
      <c r="B106" s="1" t="s">
        <v>191</v>
      </c>
      <c r="D106" s="20"/>
    </row>
    <row r="107" spans="1:18" ht="18.75" hidden="1">
      <c r="B107" s="300"/>
      <c r="D107" s="20"/>
    </row>
    <row r="108" spans="1:18" ht="18.75" hidden="1">
      <c r="B108" s="300" t="s">
        <v>188</v>
      </c>
      <c r="D108" s="20"/>
    </row>
    <row r="109" spans="1:18" ht="18.75" hidden="1">
      <c r="B109" s="300" t="s">
        <v>189</v>
      </c>
      <c r="D109" s="20"/>
    </row>
    <row r="110" spans="1:18" ht="18.75" hidden="1">
      <c r="B110" s="300"/>
      <c r="D110" s="20"/>
    </row>
    <row r="111" spans="1:18" ht="18.75" hidden="1">
      <c r="B111" s="1" t="s">
        <v>190</v>
      </c>
      <c r="D111" s="20"/>
    </row>
    <row r="112" spans="1:18" hidden="1">
      <c r="D112" s="20"/>
    </row>
    <row r="113" spans="2:15" hidden="1">
      <c r="D113" s="20"/>
    </row>
    <row r="114" spans="2:15" hidden="1">
      <c r="D114" s="20"/>
    </row>
    <row r="115" spans="2:15" hidden="1">
      <c r="D115" s="20"/>
    </row>
    <row r="116" spans="2:15" hidden="1"/>
    <row r="117" spans="2:15" ht="18.75" hidden="1">
      <c r="B117" s="240" t="s">
        <v>176</v>
      </c>
      <c r="J117" s="90"/>
    </row>
    <row r="118" spans="2:15" hidden="1">
      <c r="B118" s="2" t="s">
        <v>178</v>
      </c>
    </row>
    <row r="119" spans="2:15" hidden="1"/>
    <row r="120" spans="2:15" hidden="1">
      <c r="O120" s="83"/>
    </row>
  </sheetData>
  <mergeCells count="14">
    <mergeCell ref="J12:K12"/>
    <mergeCell ref="L12:M12"/>
    <mergeCell ref="N12:O12"/>
    <mergeCell ref="P12:Q12"/>
    <mergeCell ref="A89:A90"/>
    <mergeCell ref="B89:B90"/>
    <mergeCell ref="H12:I12"/>
    <mergeCell ref="B1:G1"/>
    <mergeCell ref="A12:A13"/>
    <mergeCell ref="B12:B13"/>
    <mergeCell ref="C12:C13"/>
    <mergeCell ref="D12:E12"/>
    <mergeCell ref="F12:G12"/>
    <mergeCell ref="A8:G8"/>
  </mergeCells>
  <pageMargins left="0.31496062992125984" right="0.31496062992125984" top="0.35433070866141736" bottom="0.74803149606299213" header="0.31496062992125984" footer="0.31496062992125984"/>
  <pageSetup paperSize="9" scale="65" fitToWidth="5" fitToHeight="2" orientation="portrait" r:id="rId1"/>
  <rowBreaks count="1" manualBreakCount="1">
    <brk id="61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22"/>
  <sheetViews>
    <sheetView view="pageBreakPreview" zoomScale="80" zoomScaleNormal="55" zoomScaleSheetLayoutView="80" workbookViewId="0">
      <pane xSplit="2" ySplit="18" topLeftCell="C92" activePane="bottomRight" state="frozen"/>
      <selection activeCell="C49" sqref="C49"/>
      <selection pane="topRight" activeCell="C49" sqref="C49"/>
      <selection pane="bottomLeft" activeCell="C49" sqref="C49"/>
      <selection pane="bottomRight" activeCell="A116" sqref="A116:XFD122"/>
    </sheetView>
  </sheetViews>
  <sheetFormatPr defaultRowHeight="15.75"/>
  <cols>
    <col min="1" max="1" width="7.42578125" style="18" customWidth="1"/>
    <col min="2" max="2" width="43.28515625" style="2" customWidth="1"/>
    <col min="3" max="3" width="14.7109375" style="19" customWidth="1"/>
    <col min="4" max="4" width="19.85546875" customWidth="1"/>
    <col min="5" max="5" width="21.7109375" customWidth="1"/>
    <col min="6" max="6" width="16.7109375" style="24" customWidth="1"/>
    <col min="7" max="7" width="15.7109375" style="24" customWidth="1"/>
    <col min="8" max="8" width="18.140625" style="36" hidden="1" customWidth="1"/>
    <col min="9" max="9" width="21.42578125" style="36" hidden="1" customWidth="1"/>
    <col min="10" max="10" width="18.85546875" style="24" hidden="1" customWidth="1"/>
    <col min="11" max="11" width="16.7109375" style="24" hidden="1" customWidth="1"/>
    <col min="12" max="12" width="19.140625" hidden="1" customWidth="1"/>
    <col min="13" max="13" width="16.7109375" hidden="1" customWidth="1"/>
    <col min="14" max="14" width="18.28515625" hidden="1" customWidth="1"/>
    <col min="15" max="15" width="21.42578125" hidden="1" customWidth="1"/>
    <col min="16" max="16" width="18.85546875" style="24" hidden="1" customWidth="1"/>
    <col min="17" max="17" width="16.7109375" style="27" hidden="1" customWidth="1"/>
    <col min="18" max="18" width="18.28515625" hidden="1" customWidth="1"/>
    <col min="19" max="19" width="16" hidden="1" customWidth="1"/>
    <col min="20" max="20" width="13.140625" customWidth="1"/>
    <col min="21" max="21" width="9.140625" customWidth="1"/>
    <col min="22" max="22" width="12.140625" bestFit="1" customWidth="1"/>
  </cols>
  <sheetData>
    <row r="1" spans="1:19" ht="62.25" customHeight="1">
      <c r="B1" s="382" t="s">
        <v>192</v>
      </c>
      <c r="C1" s="382"/>
      <c r="D1" s="382"/>
      <c r="E1" s="382"/>
      <c r="F1" s="382"/>
      <c r="G1" s="382"/>
    </row>
    <row r="2" spans="1:19" ht="14.25" customHeight="1"/>
    <row r="3" spans="1:19" s="71" customFormat="1" ht="20.25" customHeight="1">
      <c r="A3" s="100"/>
      <c r="B3" s="100"/>
      <c r="C3" s="100"/>
      <c r="D3" s="100"/>
      <c r="E3" s="130"/>
      <c r="F3" s="130"/>
      <c r="G3" s="130"/>
      <c r="H3" s="1"/>
      <c r="I3" s="1"/>
      <c r="J3" s="78"/>
      <c r="K3" s="78"/>
      <c r="P3" s="78"/>
      <c r="Q3" s="80"/>
    </row>
    <row r="4" spans="1:19" s="71" customFormat="1" ht="18.75">
      <c r="A4" s="81" t="s">
        <v>181</v>
      </c>
      <c r="B4" s="1"/>
      <c r="C4" s="72"/>
      <c r="E4" s="130"/>
      <c r="F4" s="78"/>
      <c r="G4" s="78"/>
      <c r="H4" s="1"/>
      <c r="I4" s="1"/>
      <c r="J4" s="78"/>
      <c r="K4" s="78"/>
      <c r="P4" s="78"/>
      <c r="Q4" s="80"/>
    </row>
    <row r="5" spans="1:19" s="71" customFormat="1" ht="18.75">
      <c r="A5" s="81" t="s">
        <v>164</v>
      </c>
      <c r="B5" s="1"/>
      <c r="C5" s="72"/>
      <c r="E5" s="130"/>
      <c r="F5" s="78"/>
      <c r="G5" s="78"/>
      <c r="H5" s="1"/>
      <c r="I5" s="1"/>
      <c r="J5" s="78"/>
      <c r="K5" s="78"/>
      <c r="P5" s="78"/>
      <c r="Q5" s="80"/>
    </row>
    <row r="6" spans="1:19" s="71" customFormat="1" ht="18.75">
      <c r="A6" s="81" t="s">
        <v>182</v>
      </c>
      <c r="B6" s="1"/>
      <c r="C6" s="72"/>
      <c r="E6" s="130"/>
      <c r="F6" s="78"/>
      <c r="G6" s="78"/>
      <c r="H6" s="1"/>
      <c r="I6" s="1"/>
      <c r="J6" s="78"/>
      <c r="K6" s="78"/>
      <c r="P6" s="78"/>
      <c r="Q6" s="80"/>
    </row>
    <row r="7" spans="1:19" s="71" customFormat="1" ht="18.75">
      <c r="A7" s="81" t="s">
        <v>165</v>
      </c>
      <c r="B7" s="1"/>
      <c r="C7" s="72"/>
      <c r="E7" s="130"/>
      <c r="F7" s="78"/>
      <c r="G7" s="78"/>
      <c r="H7" s="1"/>
      <c r="I7" s="1"/>
      <c r="J7" s="78"/>
      <c r="K7" s="78"/>
      <c r="P7" s="78"/>
      <c r="Q7" s="80"/>
    </row>
    <row r="8" spans="1:19" s="71" customFormat="1" ht="39.75" customHeight="1">
      <c r="A8" s="373" t="s">
        <v>166</v>
      </c>
      <c r="B8" s="373"/>
      <c r="C8" s="373"/>
      <c r="D8" s="373"/>
      <c r="E8" s="373"/>
      <c r="F8" s="373"/>
      <c r="G8" s="373"/>
      <c r="H8" s="1"/>
      <c r="I8" s="1"/>
      <c r="J8" s="78"/>
      <c r="K8" s="78"/>
      <c r="P8" s="78"/>
      <c r="Q8" s="80"/>
    </row>
    <row r="9" spans="1:19" s="71" customFormat="1" ht="18.75">
      <c r="A9" s="81" t="s">
        <v>183</v>
      </c>
      <c r="B9" s="1"/>
      <c r="C9" s="1"/>
      <c r="E9" s="130"/>
      <c r="F9" s="78"/>
      <c r="G9" s="78"/>
      <c r="H9" s="5"/>
      <c r="I9" s="5"/>
      <c r="J9" s="82"/>
      <c r="K9" s="82"/>
      <c r="P9" s="78"/>
      <c r="Q9" s="80"/>
    </row>
    <row r="10" spans="1:19" ht="23.25">
      <c r="A10" s="7"/>
      <c r="B10" s="6"/>
      <c r="C10" s="8"/>
      <c r="E10" s="130"/>
      <c r="I10" s="37"/>
      <c r="J10" s="25"/>
      <c r="K10" s="25"/>
    </row>
    <row r="11" spans="1:19" ht="19.5" thickBot="1">
      <c r="E11" s="130"/>
      <c r="I11" s="40"/>
    </row>
    <row r="12" spans="1:19" s="4" customFormat="1" ht="46.5" customHeight="1">
      <c r="A12" s="374" t="s">
        <v>1</v>
      </c>
      <c r="B12" s="383" t="s">
        <v>2</v>
      </c>
      <c r="C12" s="383" t="s">
        <v>131</v>
      </c>
      <c r="D12" s="388" t="s">
        <v>125</v>
      </c>
      <c r="E12" s="385"/>
      <c r="F12" s="378" t="s">
        <v>124</v>
      </c>
      <c r="G12" s="379"/>
      <c r="H12" s="376" t="s">
        <v>174</v>
      </c>
      <c r="I12" s="377"/>
      <c r="J12" s="378" t="s">
        <v>124</v>
      </c>
      <c r="K12" s="379"/>
      <c r="L12" s="380" t="s">
        <v>128</v>
      </c>
      <c r="M12" s="381"/>
      <c r="N12" s="376" t="s">
        <v>132</v>
      </c>
      <c r="O12" s="377"/>
      <c r="P12" s="369" t="s">
        <v>130</v>
      </c>
      <c r="Q12" s="370"/>
    </row>
    <row r="13" spans="1:19" s="79" customFormat="1" ht="73.5" customHeight="1" thickBot="1">
      <c r="A13" s="375"/>
      <c r="B13" s="384"/>
      <c r="C13" s="384"/>
      <c r="D13" s="184" t="s">
        <v>167</v>
      </c>
      <c r="E13" s="181" t="s">
        <v>168</v>
      </c>
      <c r="F13" s="182" t="s">
        <v>4</v>
      </c>
      <c r="G13" s="185" t="s">
        <v>109</v>
      </c>
      <c r="H13" s="184" t="s">
        <v>133</v>
      </c>
      <c r="I13" s="181" t="s">
        <v>168</v>
      </c>
      <c r="J13" s="182" t="s">
        <v>4</v>
      </c>
      <c r="K13" s="183" t="s">
        <v>109</v>
      </c>
      <c r="L13" s="184" t="s">
        <v>134</v>
      </c>
      <c r="M13" s="186" t="s">
        <v>163</v>
      </c>
      <c r="N13" s="184" t="s">
        <v>173</v>
      </c>
      <c r="O13" s="186" t="s">
        <v>163</v>
      </c>
      <c r="P13" s="182" t="s">
        <v>4</v>
      </c>
      <c r="Q13" s="185" t="s">
        <v>109</v>
      </c>
      <c r="S13" s="236"/>
    </row>
    <row r="14" spans="1:19" s="4" customFormat="1" hidden="1">
      <c r="A14" s="154"/>
      <c r="B14" s="166" t="s">
        <v>129</v>
      </c>
      <c r="C14" s="147"/>
      <c r="D14" s="42">
        <f>D88*D92</f>
        <v>1261222.7299999997</v>
      </c>
      <c r="E14" s="178" t="e">
        <f>#REF!</f>
        <v>#REF!</v>
      </c>
      <c r="F14" s="179" t="e">
        <f>E14-D14</f>
        <v>#REF!</v>
      </c>
      <c r="G14" s="52" t="e">
        <f>E14/D14*100-100</f>
        <v>#REF!</v>
      </c>
      <c r="H14" s="180" t="e">
        <f>#REF!+#REF!+D14+#REF!+#REF!</f>
        <v>#REF!</v>
      </c>
      <c r="I14" s="178" t="e">
        <f>#REF!+#REF!+E14+#REF!+#REF!</f>
        <v>#REF!</v>
      </c>
      <c r="J14" s="179" t="e">
        <f>I14-H14</f>
        <v>#REF!</v>
      </c>
      <c r="K14" s="179" t="e">
        <f>I14/H14*100-100</f>
        <v>#REF!</v>
      </c>
      <c r="L14" s="180" t="e">
        <f>#REF!/1000</f>
        <v>#REF!</v>
      </c>
      <c r="M14" s="178" t="e">
        <f>#REF!</f>
        <v>#REF!</v>
      </c>
      <c r="N14" s="180" t="e">
        <f>H14+L14</f>
        <v>#REF!</v>
      </c>
      <c r="O14" s="178" t="e">
        <f>I14+M14</f>
        <v>#REF!</v>
      </c>
      <c r="P14" s="179" t="e">
        <f>O14-N14</f>
        <v>#REF!</v>
      </c>
      <c r="Q14" s="52" t="e">
        <f>O14/N14*100-100</f>
        <v>#REF!</v>
      </c>
    </row>
    <row r="15" spans="1:19" s="4" customFormat="1" hidden="1">
      <c r="A15" s="154"/>
      <c r="B15" s="166" t="s">
        <v>135</v>
      </c>
      <c r="C15" s="147"/>
      <c r="D15" s="195"/>
      <c r="E15" s="192" t="e">
        <f>#REF!*0.1585</f>
        <v>#REF!</v>
      </c>
      <c r="F15" s="193"/>
      <c r="G15" s="194"/>
      <c r="H15" s="195"/>
      <c r="I15" s="192" t="e">
        <f>#REF!+#REF!+E15+#REF!+#REF!</f>
        <v>#REF!</v>
      </c>
      <c r="J15" s="193"/>
      <c r="K15" s="193"/>
      <c r="L15" s="195"/>
      <c r="M15" s="192"/>
      <c r="N15" s="195"/>
      <c r="O15" s="192" t="e">
        <f>(4331924083+471097608)/1000-O14</f>
        <v>#REF!</v>
      </c>
      <c r="P15" s="193"/>
      <c r="Q15" s="194"/>
    </row>
    <row r="16" spans="1:19" s="4" customFormat="1" hidden="1">
      <c r="A16" s="155"/>
      <c r="B16" s="167" t="s">
        <v>136</v>
      </c>
      <c r="C16" s="148"/>
      <c r="D16" s="200">
        <v>787697.01831592387</v>
      </c>
      <c r="E16" s="197" t="e">
        <f>E14+E15</f>
        <v>#REF!</v>
      </c>
      <c r="F16" s="198" t="e">
        <f>E16-D16</f>
        <v>#REF!</v>
      </c>
      <c r="G16" s="201" t="e">
        <f>E16/D16*100-100</f>
        <v>#REF!</v>
      </c>
      <c r="H16" s="200" t="e">
        <f>H14+H15</f>
        <v>#REF!</v>
      </c>
      <c r="I16" s="197" t="e">
        <f>I14+I15</f>
        <v>#REF!</v>
      </c>
      <c r="J16" s="198" t="e">
        <f>I16-H16</f>
        <v>#REF!</v>
      </c>
      <c r="K16" s="198" t="e">
        <f>I16/H16*100-100</f>
        <v>#REF!</v>
      </c>
      <c r="L16" s="200" t="e">
        <f>L14+L15</f>
        <v>#REF!</v>
      </c>
      <c r="M16" s="197" t="e">
        <f>M14+M15</f>
        <v>#REF!</v>
      </c>
      <c r="N16" s="200" t="e">
        <f t="shared" ref="N16" si="0">N14+N15</f>
        <v>#REF!</v>
      </c>
      <c r="O16" s="197" t="e">
        <f>O14+O15</f>
        <v>#REF!</v>
      </c>
      <c r="P16" s="198" t="e">
        <f>O16-N16</f>
        <v>#REF!</v>
      </c>
      <c r="Q16" s="201" t="e">
        <f>O16/N16*100-100</f>
        <v>#REF!</v>
      </c>
    </row>
    <row r="17" spans="1:22" s="4" customFormat="1" hidden="1">
      <c r="A17" s="154"/>
      <c r="B17" s="147"/>
      <c r="C17" s="147"/>
      <c r="D17" s="205"/>
      <c r="E17" s="202"/>
      <c r="F17" s="203"/>
      <c r="G17" s="206"/>
      <c r="H17" s="205"/>
      <c r="I17" s="207"/>
      <c r="J17" s="208"/>
      <c r="K17" s="208"/>
      <c r="L17" s="209"/>
      <c r="M17" s="207"/>
      <c r="N17" s="209"/>
      <c r="O17" s="207"/>
      <c r="P17" s="208"/>
      <c r="Q17" s="210"/>
    </row>
    <row r="18" spans="1:22" s="4" customFormat="1" hidden="1">
      <c r="A18" s="154"/>
      <c r="B18" s="147"/>
      <c r="C18" s="147"/>
      <c r="D18" s="205"/>
      <c r="E18" s="202"/>
      <c r="F18" s="203"/>
      <c r="G18" s="206"/>
      <c r="H18" s="205"/>
      <c r="I18" s="207"/>
      <c r="J18" s="208"/>
      <c r="K18" s="208"/>
      <c r="L18" s="209"/>
      <c r="M18" s="207"/>
      <c r="N18" s="209"/>
      <c r="O18" s="207"/>
      <c r="P18" s="208"/>
      <c r="Q18" s="210"/>
    </row>
    <row r="19" spans="1:22" s="4" customFormat="1" ht="16.5" thickBot="1">
      <c r="A19" s="216"/>
      <c r="B19" s="217"/>
      <c r="C19" s="217"/>
      <c r="D19" s="271"/>
      <c r="E19" s="266"/>
      <c r="F19" s="267"/>
      <c r="G19" s="270"/>
      <c r="H19" s="271"/>
      <c r="I19" s="276"/>
      <c r="J19" s="182"/>
      <c r="K19" s="182"/>
      <c r="L19" s="184"/>
      <c r="M19" s="181"/>
      <c r="N19" s="184"/>
      <c r="O19" s="181"/>
      <c r="P19" s="182"/>
      <c r="Q19" s="185"/>
    </row>
    <row r="20" spans="1:22" ht="47.25">
      <c r="A20" s="156" t="s">
        <v>3</v>
      </c>
      <c r="B20" s="168" t="s">
        <v>137</v>
      </c>
      <c r="C20" s="253" t="s">
        <v>138</v>
      </c>
      <c r="D20" s="277">
        <f t="shared" ref="D20:I20" si="1">D21+D27+D32+D36+D33</f>
        <v>1196911.68</v>
      </c>
      <c r="E20" s="277">
        <f t="shared" si="1"/>
        <v>560281.50986024993</v>
      </c>
      <c r="F20" s="277">
        <f t="shared" si="1"/>
        <v>-636630.17013975</v>
      </c>
      <c r="G20" s="277">
        <f>E20/D20*100-100</f>
        <v>-53.189402424391915</v>
      </c>
      <c r="H20" s="277" t="e">
        <f t="shared" si="1"/>
        <v>#REF!</v>
      </c>
      <c r="I20" s="277" t="e">
        <f t="shared" si="1"/>
        <v>#REF!</v>
      </c>
      <c r="J20" s="188" t="e">
        <f>I20-H20</f>
        <v>#REF!</v>
      </c>
      <c r="K20" s="188" t="e">
        <f>I20/H20*100-100</f>
        <v>#REF!</v>
      </c>
      <c r="L20" s="189">
        <f>L21+L27+L32+L36+L33</f>
        <v>256332.14</v>
      </c>
      <c r="M20" s="187">
        <f>M21+M27+M32+M36+M33</f>
        <v>704941.21</v>
      </c>
      <c r="N20" s="189" t="e">
        <f>N21+N27+N32+N36+N33</f>
        <v>#REF!</v>
      </c>
      <c r="O20" s="187" t="e">
        <f>O21+O27+O32+O36+O33</f>
        <v>#REF!</v>
      </c>
      <c r="P20" s="188" t="e">
        <f>O20-N20</f>
        <v>#REF!</v>
      </c>
      <c r="Q20" s="190" t="e">
        <f>O20/N20*100-100</f>
        <v>#REF!</v>
      </c>
      <c r="R20" s="241"/>
    </row>
    <row r="21" spans="1:22" ht="31.5">
      <c r="A21" s="157">
        <v>1</v>
      </c>
      <c r="B21" s="169" t="s">
        <v>139</v>
      </c>
      <c r="C21" s="254" t="s">
        <v>140</v>
      </c>
      <c r="D21" s="280">
        <f t="shared" ref="D21:I21" si="2">SUM(D22:D26)</f>
        <v>311499.39</v>
      </c>
      <c r="E21" s="280">
        <f t="shared" si="2"/>
        <v>26220.446178405</v>
      </c>
      <c r="F21" s="280">
        <f t="shared" si="2"/>
        <v>-285278.94382159499</v>
      </c>
      <c r="G21" s="280">
        <f t="shared" ref="G21" si="3">E21/D21*100-100</f>
        <v>-91.582504807343284</v>
      </c>
      <c r="H21" s="280" t="e">
        <f t="shared" si="2"/>
        <v>#REF!</v>
      </c>
      <c r="I21" s="280" t="e">
        <f t="shared" si="2"/>
        <v>#REF!</v>
      </c>
      <c r="J21" s="31" t="e">
        <f>I21-H21</f>
        <v>#REF!</v>
      </c>
      <c r="K21" s="31" t="e">
        <f>I21/H21*100-100</f>
        <v>#REF!</v>
      </c>
      <c r="L21" s="44">
        <f t="shared" ref="L21:O21" si="4">SUM(L22:L26)</f>
        <v>0</v>
      </c>
      <c r="M21" s="11">
        <f t="shared" si="4"/>
        <v>0</v>
      </c>
      <c r="N21" s="44" t="e">
        <f t="shared" si="4"/>
        <v>#REF!</v>
      </c>
      <c r="O21" s="11" t="e">
        <f t="shared" si="4"/>
        <v>#REF!</v>
      </c>
      <c r="P21" s="31" t="e">
        <f>O21-N21</f>
        <v>#REF!</v>
      </c>
      <c r="Q21" s="61" t="e">
        <f>O21/N21*100-100</f>
        <v>#REF!</v>
      </c>
      <c r="R21" s="241"/>
    </row>
    <row r="22" spans="1:22" s="3" customFormat="1">
      <c r="A22" s="158" t="s">
        <v>64</v>
      </c>
      <c r="B22" s="170" t="s">
        <v>5</v>
      </c>
      <c r="C22" s="255" t="s">
        <v>140</v>
      </c>
      <c r="D22" s="283">
        <v>176246.9</v>
      </c>
      <c r="E22" s="283">
        <f>268863.31/1000+21648265.1/1000+177009.86/1000</f>
        <v>22094.138269999999</v>
      </c>
      <c r="F22" s="252">
        <f t="shared" ref="F22" si="5">E22-D22</f>
        <v>-154152.76173</v>
      </c>
      <c r="G22" s="252">
        <f>E22/D22*100-100</f>
        <v>-87.464098222436817</v>
      </c>
      <c r="H22" s="283" t="e">
        <f>#REF!+#REF!+D22+#REF!+#REF!</f>
        <v>#REF!</v>
      </c>
      <c r="I22" s="283" t="e">
        <f>#REF!+#REF!+E22+#REF!+#REF!</f>
        <v>#REF!</v>
      </c>
      <c r="J22" s="21" t="e">
        <f>I22-H22</f>
        <v>#REF!</v>
      </c>
      <c r="K22" s="21" t="e">
        <f>I22/H22*100-100</f>
        <v>#REF!</v>
      </c>
      <c r="L22" s="53"/>
      <c r="M22" s="9"/>
      <c r="N22" s="53" t="e">
        <f>H22+L22</f>
        <v>#REF!</v>
      </c>
      <c r="O22" s="9" t="e">
        <f>#REF!+#REF!+E22+#REF!+#REF!+M22</f>
        <v>#REF!</v>
      </c>
      <c r="P22" s="21" t="e">
        <f>O22-N22</f>
        <v>#REF!</v>
      </c>
      <c r="Q22" s="54" t="e">
        <f>O22/N22*100-100</f>
        <v>#REF!</v>
      </c>
      <c r="R22" s="242"/>
      <c r="S22" s="96"/>
      <c r="T22" s="96"/>
    </row>
    <row r="23" spans="1:22" s="3" customFormat="1">
      <c r="A23" s="158" t="s">
        <v>65</v>
      </c>
      <c r="B23" s="170" t="s">
        <v>141</v>
      </c>
      <c r="C23" s="255" t="s">
        <v>140</v>
      </c>
      <c r="D23" s="283"/>
      <c r="E23" s="283"/>
      <c r="F23" s="252"/>
      <c r="G23" s="252"/>
      <c r="H23" s="283"/>
      <c r="I23" s="283"/>
      <c r="J23" s="21"/>
      <c r="K23" s="21"/>
      <c r="L23" s="53"/>
      <c r="M23" s="9"/>
      <c r="N23" s="53">
        <f>H23+L23</f>
        <v>0</v>
      </c>
      <c r="O23" s="9">
        <f>SUM(E23:M23)</f>
        <v>0</v>
      </c>
      <c r="P23" s="21"/>
      <c r="Q23" s="54"/>
      <c r="R23" s="243"/>
    </row>
    <row r="24" spans="1:22" s="3" customFormat="1">
      <c r="A24" s="158" t="s">
        <v>66</v>
      </c>
      <c r="B24" s="170" t="s">
        <v>142</v>
      </c>
      <c r="C24" s="255" t="s">
        <v>140</v>
      </c>
      <c r="D24" s="283">
        <v>10818</v>
      </c>
      <c r="E24" s="283">
        <f>(2004070.13/1000+12716.8/1000)*E81+202399.15/1000+871034.73/1000</f>
        <v>1393.0946084049999</v>
      </c>
      <c r="F24" s="252">
        <f t="shared" ref="F24" si="6">E24-D24</f>
        <v>-9424.9053915950008</v>
      </c>
      <c r="G24" s="252">
        <f t="shared" ref="G24" si="7">E24/D24*100-100</f>
        <v>-87.122438450684044</v>
      </c>
      <c r="H24" s="283" t="e">
        <f>#REF!+#REF!+D24+#REF!+#REF!</f>
        <v>#REF!</v>
      </c>
      <c r="I24" s="283" t="e">
        <f>#REF!+#REF!+E24+#REF!+#REF!</f>
        <v>#REF!</v>
      </c>
      <c r="J24" s="21" t="e">
        <f>I24-H24</f>
        <v>#REF!</v>
      </c>
      <c r="K24" s="21" t="e">
        <f>I24/H24*100-100</f>
        <v>#REF!</v>
      </c>
      <c r="L24" s="53"/>
      <c r="M24" s="9"/>
      <c r="N24" s="53" t="e">
        <f>H24+L24</f>
        <v>#REF!</v>
      </c>
      <c r="O24" s="9" t="e">
        <f>#REF!+#REF!+E24+#REF!+#REF!+M24</f>
        <v>#REF!</v>
      </c>
      <c r="P24" s="21" t="e">
        <f>O24-N24</f>
        <v>#REF!</v>
      </c>
      <c r="Q24" s="54" t="e">
        <f>O24/N24*100-100</f>
        <v>#REF!</v>
      </c>
      <c r="R24" s="242">
        <v>1648.9552099999999</v>
      </c>
      <c r="S24" s="96" t="e">
        <f>I24-R24</f>
        <v>#REF!</v>
      </c>
      <c r="T24" s="96"/>
    </row>
    <row r="25" spans="1:22" s="3" customFormat="1">
      <c r="A25" s="158" t="s">
        <v>67</v>
      </c>
      <c r="B25" s="170" t="s">
        <v>143</v>
      </c>
      <c r="C25" s="255" t="s">
        <v>140</v>
      </c>
      <c r="D25" s="283"/>
      <c r="E25" s="284"/>
      <c r="F25" s="252"/>
      <c r="G25" s="252"/>
      <c r="H25" s="283"/>
      <c r="I25" s="283"/>
      <c r="J25" s="21"/>
      <c r="K25" s="21"/>
      <c r="L25" s="53"/>
      <c r="M25" s="9"/>
      <c r="N25" s="53">
        <f>H25+L25</f>
        <v>0</v>
      </c>
      <c r="O25" s="9">
        <f>SUM(E25:M25)</f>
        <v>0</v>
      </c>
      <c r="P25" s="21"/>
      <c r="Q25" s="54"/>
      <c r="R25" s="242"/>
    </row>
    <row r="26" spans="1:22" s="3" customFormat="1">
      <c r="A26" s="158" t="s">
        <v>68</v>
      </c>
      <c r="B26" s="170" t="s">
        <v>6</v>
      </c>
      <c r="C26" s="255" t="s">
        <v>140</v>
      </c>
      <c r="D26" s="283">
        <v>124434.49</v>
      </c>
      <c r="E26" s="283">
        <f>2733213.3/1000</f>
        <v>2733.2132999999999</v>
      </c>
      <c r="F26" s="252">
        <f t="shared" ref="F26" si="8">E26-D26</f>
        <v>-121701.2767</v>
      </c>
      <c r="G26" s="252">
        <f t="shared" ref="G26" si="9">E26/D26*100-100</f>
        <v>-97.80349218291488</v>
      </c>
      <c r="H26" s="283" t="e">
        <f>#REF!+#REF!+D26+#REF!+#REF!</f>
        <v>#REF!</v>
      </c>
      <c r="I26" s="283" t="e">
        <f>#REF!+#REF!+E26+#REF!+#REF!</f>
        <v>#REF!</v>
      </c>
      <c r="J26" s="21" t="e">
        <f>I26-H26</f>
        <v>#REF!</v>
      </c>
      <c r="K26" s="21" t="e">
        <f>I26/H26*100-100</f>
        <v>#REF!</v>
      </c>
      <c r="L26" s="53"/>
      <c r="M26" s="87"/>
      <c r="N26" s="53" t="e">
        <f>H26+L26</f>
        <v>#REF!</v>
      </c>
      <c r="O26" s="9" t="e">
        <f>#REF!+#REF!+E26+#REF!+#REF!+M26</f>
        <v>#REF!</v>
      </c>
      <c r="P26" s="21" t="e">
        <f>O26-N26</f>
        <v>#REF!</v>
      </c>
      <c r="Q26" s="54" t="e">
        <f>O26/N26*100-100</f>
        <v>#REF!</v>
      </c>
      <c r="R26" s="242"/>
      <c r="S26" s="235"/>
      <c r="T26" s="96"/>
      <c r="V26" s="96"/>
    </row>
    <row r="27" spans="1:22" ht="31.5">
      <c r="A27" s="157">
        <v>2</v>
      </c>
      <c r="B27" s="169" t="s">
        <v>144</v>
      </c>
      <c r="C27" s="254" t="s">
        <v>140</v>
      </c>
      <c r="D27" s="280">
        <f t="shared" ref="D27:H27" si="10">D28+D29+D30+D31</f>
        <v>187770.15</v>
      </c>
      <c r="E27" s="280">
        <f t="shared" si="10"/>
        <v>150665.27709000002</v>
      </c>
      <c r="F27" s="280">
        <f t="shared" si="10"/>
        <v>-37104.872909999984</v>
      </c>
      <c r="G27" s="280">
        <f>E27/D27*100-100</f>
        <v>-19.76079419971704</v>
      </c>
      <c r="H27" s="280" t="e">
        <f t="shared" si="10"/>
        <v>#REF!</v>
      </c>
      <c r="I27" s="280" t="e">
        <f>I28+I29+I30+I31</f>
        <v>#REF!</v>
      </c>
      <c r="J27" s="31" t="e">
        <f>I27-H27</f>
        <v>#REF!</v>
      </c>
      <c r="K27" s="31" t="e">
        <f>I27/H27*100-100</f>
        <v>#REF!</v>
      </c>
      <c r="L27" s="44"/>
      <c r="M27" s="11"/>
      <c r="N27" s="44" t="e">
        <f>SUM(N28:N29)</f>
        <v>#REF!</v>
      </c>
      <c r="O27" s="11" t="e">
        <f>SUM(O28:O29)</f>
        <v>#REF!</v>
      </c>
      <c r="P27" s="31" t="e">
        <f>O27-N27</f>
        <v>#REF!</v>
      </c>
      <c r="Q27" s="61" t="e">
        <f>O27/N27*100-100</f>
        <v>#REF!</v>
      </c>
      <c r="R27" s="242">
        <v>0</v>
      </c>
      <c r="S27" s="83"/>
      <c r="T27" s="83"/>
    </row>
    <row r="28" spans="1:22" ht="31.5">
      <c r="A28" s="302" t="s">
        <v>69</v>
      </c>
      <c r="B28" s="171" t="s">
        <v>7</v>
      </c>
      <c r="C28" s="256" t="s">
        <v>140</v>
      </c>
      <c r="D28" s="283">
        <v>172980.33</v>
      </c>
      <c r="E28" s="283">
        <f>4401469.5/1000+130070057.5/1000</f>
        <v>134471.527</v>
      </c>
      <c r="F28" s="252">
        <f t="shared" ref="F28:F32" si="11">E28-D28</f>
        <v>-38508.802999999985</v>
      </c>
      <c r="G28" s="252">
        <f t="shared" ref="G28:G29" si="12">E28/D28*100-100</f>
        <v>-22.261954870822592</v>
      </c>
      <c r="H28" s="283" t="e">
        <f>#REF!+#REF!+D28+#REF!+#REF!</f>
        <v>#REF!</v>
      </c>
      <c r="I28" s="283" t="e">
        <f>#REF!+#REF!+E28+#REF!+#REF!</f>
        <v>#REF!</v>
      </c>
      <c r="J28" s="21" t="e">
        <f>I28-H28</f>
        <v>#REF!</v>
      </c>
      <c r="K28" s="21" t="e">
        <f>I28/H28*100-100</f>
        <v>#REF!</v>
      </c>
      <c r="L28" s="53"/>
      <c r="M28" s="9"/>
      <c r="N28" s="53" t="e">
        <f>H28+L28</f>
        <v>#REF!</v>
      </c>
      <c r="O28" s="9" t="e">
        <f>#REF!+#REF!+E28+#REF!+#REF!+M28</f>
        <v>#REF!</v>
      </c>
      <c r="P28" s="21" t="e">
        <f>O28-N28</f>
        <v>#REF!</v>
      </c>
      <c r="Q28" s="54" t="e">
        <f>O28/N28*100-100</f>
        <v>#REF!</v>
      </c>
      <c r="R28" s="242"/>
      <c r="S28" s="83"/>
      <c r="T28" s="83"/>
    </row>
    <row r="29" spans="1:22">
      <c r="A29" s="302" t="s">
        <v>70</v>
      </c>
      <c r="B29" s="171" t="s">
        <v>170</v>
      </c>
      <c r="C29" s="256" t="s">
        <v>140</v>
      </c>
      <c r="D29" s="283">
        <v>14789.82</v>
      </c>
      <c r="E29" s="283">
        <f>140689.57/1000+230747.39/1000+4019689.08/1000+6938007.27/1000</f>
        <v>11329.133309999999</v>
      </c>
      <c r="F29" s="252">
        <f t="shared" si="11"/>
        <v>-3460.6866900000005</v>
      </c>
      <c r="G29" s="252">
        <f t="shared" si="12"/>
        <v>-23.399112970948948</v>
      </c>
      <c r="H29" s="283" t="e">
        <f>#REF!+#REF!+D29+#REF!+#REF!</f>
        <v>#REF!</v>
      </c>
      <c r="I29" s="283" t="e">
        <f>#REF!+#REF!+E29+#REF!+#REF!</f>
        <v>#REF!</v>
      </c>
      <c r="J29" s="21" t="e">
        <f>I29-H29</f>
        <v>#REF!</v>
      </c>
      <c r="K29" s="21" t="e">
        <f>I29/H29*100-100</f>
        <v>#REF!</v>
      </c>
      <c r="L29" s="53"/>
      <c r="M29" s="9"/>
      <c r="N29" s="53" t="e">
        <f>H29+L29</f>
        <v>#REF!</v>
      </c>
      <c r="O29" s="9" t="e">
        <f>#REF!+#REF!+E29+#REF!+#REF!+M29</f>
        <v>#REF!</v>
      </c>
      <c r="P29" s="21" t="e">
        <f>O29-N29</f>
        <v>#REF!</v>
      </c>
      <c r="Q29" s="54" t="e">
        <f>O29/N29*100-100</f>
        <v>#REF!</v>
      </c>
      <c r="R29" s="242"/>
      <c r="S29" s="83"/>
      <c r="T29" s="83"/>
    </row>
    <row r="30" spans="1:22">
      <c r="A30" s="302" t="s">
        <v>179</v>
      </c>
      <c r="B30" s="251" t="s">
        <v>177</v>
      </c>
      <c r="C30" s="256"/>
      <c r="D30" s="283"/>
      <c r="E30" s="283">
        <f>11586/1000+1113179.11/1000</f>
        <v>1124.76511</v>
      </c>
      <c r="F30" s="252">
        <f t="shared" si="11"/>
        <v>1124.76511</v>
      </c>
      <c r="G30" s="252"/>
      <c r="H30" s="283"/>
      <c r="I30" s="283" t="e">
        <f>#REF!+#REF!+E30+#REF!+#REF!</f>
        <v>#REF!</v>
      </c>
      <c r="J30" s="247"/>
      <c r="K30" s="247"/>
      <c r="L30" s="249"/>
      <c r="M30" s="250"/>
      <c r="N30" s="249"/>
      <c r="O30" s="250"/>
      <c r="P30" s="247"/>
      <c r="Q30" s="248"/>
      <c r="R30" s="242"/>
      <c r="S30" s="83"/>
      <c r="T30" s="83"/>
    </row>
    <row r="31" spans="1:22">
      <c r="A31" s="302" t="s">
        <v>180</v>
      </c>
      <c r="B31" s="171" t="s">
        <v>169</v>
      </c>
      <c r="C31" s="256"/>
      <c r="D31" s="283"/>
      <c r="E31" s="283">
        <f>132043.95/1000+3607807.72/1000</f>
        <v>3739.8516700000005</v>
      </c>
      <c r="F31" s="252">
        <f t="shared" si="11"/>
        <v>3739.8516700000005</v>
      </c>
      <c r="G31" s="252"/>
      <c r="H31" s="283"/>
      <c r="I31" s="283" t="e">
        <f>#REF!+#REF!+E31+#REF!+#REF!</f>
        <v>#REF!</v>
      </c>
      <c r="J31" s="92"/>
      <c r="K31" s="92"/>
      <c r="L31" s="91"/>
      <c r="M31" s="86"/>
      <c r="N31" s="91"/>
      <c r="O31" s="9" t="e">
        <f>#REF!+#REF!+E31+#REF!+#REF!+M31</f>
        <v>#REF!</v>
      </c>
      <c r="P31" s="92"/>
      <c r="Q31" s="93"/>
      <c r="R31" s="242"/>
      <c r="S31" s="83"/>
      <c r="T31" s="84"/>
    </row>
    <row r="32" spans="1:22">
      <c r="A32" s="157">
        <v>3</v>
      </c>
      <c r="B32" s="169" t="s">
        <v>8</v>
      </c>
      <c r="C32" s="257" t="s">
        <v>140</v>
      </c>
      <c r="D32" s="280">
        <v>24226.44</v>
      </c>
      <c r="E32" s="280">
        <f>3315654/1000*E81+5841614.1/1000+13041574.73/1000</f>
        <v>19408.719989000001</v>
      </c>
      <c r="F32" s="280">
        <f t="shared" si="11"/>
        <v>-4817.7200109999976</v>
      </c>
      <c r="G32" s="280">
        <f t="shared" ref="G32:G34" si="13">E32/D32*100-100</f>
        <v>-19.886207015970967</v>
      </c>
      <c r="H32" s="280" t="e">
        <f>#REF!+#REF!+D32+#REF!+#REF!</f>
        <v>#REF!</v>
      </c>
      <c r="I32" s="280" t="e">
        <f>#REF!+#REF!+E32+#REF!+#REF!</f>
        <v>#REF!</v>
      </c>
      <c r="J32" s="31" t="e">
        <f>I32-H32</f>
        <v>#REF!</v>
      </c>
      <c r="K32" s="31" t="e">
        <f>I32/H32*100-100</f>
        <v>#REF!</v>
      </c>
      <c r="L32" s="44"/>
      <c r="M32" s="11"/>
      <c r="N32" s="44" t="e">
        <f>H32+L32</f>
        <v>#REF!</v>
      </c>
      <c r="O32" s="11" t="e">
        <f>#REF!+#REF!+E32+#REF!+#REF!+M32</f>
        <v>#REF!</v>
      </c>
      <c r="P32" s="31" t="e">
        <f>O32-N32</f>
        <v>#REF!</v>
      </c>
      <c r="Q32" s="61" t="e">
        <f>O32/N32*100-100</f>
        <v>#REF!</v>
      </c>
      <c r="R32" s="242"/>
      <c r="S32" s="83"/>
    </row>
    <row r="33" spans="1:20">
      <c r="A33" s="157">
        <v>4</v>
      </c>
      <c r="B33" s="169" t="s">
        <v>145</v>
      </c>
      <c r="C33" s="257"/>
      <c r="D33" s="280">
        <f t="shared" ref="D33:I33" si="14">D34</f>
        <v>111843.65</v>
      </c>
      <c r="E33" s="280">
        <f t="shared" si="14"/>
        <v>6664.0820999999996</v>
      </c>
      <c r="F33" s="280">
        <f t="shared" si="14"/>
        <v>-105179.56789999999</v>
      </c>
      <c r="G33" s="280">
        <f t="shared" si="13"/>
        <v>-94.041608888837231</v>
      </c>
      <c r="H33" s="280" t="e">
        <f t="shared" si="14"/>
        <v>#REF!</v>
      </c>
      <c r="I33" s="280" t="e">
        <f t="shared" si="14"/>
        <v>#REF!</v>
      </c>
      <c r="J33" s="31" t="e">
        <f>I33-H33</f>
        <v>#REF!</v>
      </c>
      <c r="K33" s="31" t="e">
        <f>I33/H33*100-100</f>
        <v>#REF!</v>
      </c>
      <c r="L33" s="44"/>
      <c r="M33" s="11"/>
      <c r="N33" s="44" t="e">
        <f>N35+N34</f>
        <v>#REF!</v>
      </c>
      <c r="O33" s="11" t="e">
        <f>O35+O34</f>
        <v>#REF!</v>
      </c>
      <c r="P33" s="31" t="e">
        <f>O33-N33</f>
        <v>#REF!</v>
      </c>
      <c r="Q33" s="61" t="e">
        <f>O33/N33*100-100</f>
        <v>#REF!</v>
      </c>
      <c r="R33" s="242">
        <v>0</v>
      </c>
    </row>
    <row r="34" spans="1:20" s="3" customFormat="1" ht="31.5" customHeight="1">
      <c r="A34" s="158" t="s">
        <v>71</v>
      </c>
      <c r="B34" s="170" t="s">
        <v>146</v>
      </c>
      <c r="C34" s="258" t="s">
        <v>140</v>
      </c>
      <c r="D34" s="283">
        <v>111843.65</v>
      </c>
      <c r="E34" s="283">
        <f>4716347.52/1000+1883304/1000+64430.58/1000</f>
        <v>6664.0820999999996</v>
      </c>
      <c r="F34" s="252">
        <f t="shared" ref="F34" si="15">E34-D34</f>
        <v>-105179.56789999999</v>
      </c>
      <c r="G34" s="252">
        <f t="shared" si="13"/>
        <v>-94.041608888837231</v>
      </c>
      <c r="H34" s="283" t="e">
        <f>#REF!+#REF!+D34+#REF!+#REF!</f>
        <v>#REF!</v>
      </c>
      <c r="I34" s="284" t="e">
        <f>#REF!+#REF!+E34+#REF!+#REF!</f>
        <v>#REF!</v>
      </c>
      <c r="J34" s="21" t="e">
        <f>I34-H34</f>
        <v>#REF!</v>
      </c>
      <c r="K34" s="21" t="e">
        <f>I34/H34*100-100</f>
        <v>#REF!</v>
      </c>
      <c r="L34" s="53"/>
      <c r="M34" s="9"/>
      <c r="N34" s="53" t="e">
        <f>H34+L34</f>
        <v>#REF!</v>
      </c>
      <c r="O34" s="9" t="e">
        <f>#REF!+#REF!+E34+#REF!+#REF!+M34</f>
        <v>#REF!</v>
      </c>
      <c r="P34" s="21" t="e">
        <f>O34-N34</f>
        <v>#REF!</v>
      </c>
      <c r="Q34" s="54" t="e">
        <f>O34/N34*100-100</f>
        <v>#REF!</v>
      </c>
      <c r="R34" s="242"/>
      <c r="S34"/>
      <c r="T34" s="96"/>
    </row>
    <row r="35" spans="1:20">
      <c r="A35" s="302"/>
      <c r="B35" s="171"/>
      <c r="C35" s="259"/>
      <c r="D35" s="283"/>
      <c r="E35" s="283"/>
      <c r="F35" s="252"/>
      <c r="G35" s="252"/>
      <c r="H35" s="283"/>
      <c r="I35" s="283"/>
      <c r="J35" s="21"/>
      <c r="K35" s="21"/>
      <c r="L35" s="53"/>
      <c r="M35" s="9"/>
      <c r="N35" s="53"/>
      <c r="O35" s="9"/>
      <c r="P35" s="21"/>
      <c r="Q35" s="54"/>
      <c r="R35" s="242"/>
    </row>
    <row r="36" spans="1:20">
      <c r="A36" s="157" t="s">
        <v>147</v>
      </c>
      <c r="B36" s="169" t="s">
        <v>9</v>
      </c>
      <c r="C36" s="257" t="s">
        <v>140</v>
      </c>
      <c r="D36" s="280">
        <f t="shared" ref="D36:I36" si="16">SUM(D37:D46)</f>
        <v>561572.05000000005</v>
      </c>
      <c r="E36" s="280">
        <f t="shared" si="16"/>
        <v>357322.98450284498</v>
      </c>
      <c r="F36" s="280">
        <f>SUM(F37:F46)</f>
        <v>-204249.06549715501</v>
      </c>
      <c r="G36" s="280">
        <f>E36/D36*100-100</f>
        <v>-36.370945722308477</v>
      </c>
      <c r="H36" s="280" t="e">
        <f t="shared" si="16"/>
        <v>#REF!</v>
      </c>
      <c r="I36" s="280" t="e">
        <f t="shared" si="16"/>
        <v>#REF!</v>
      </c>
      <c r="J36" s="31" t="e">
        <f t="shared" ref="J36:J44" si="17">I36-H36</f>
        <v>#REF!</v>
      </c>
      <c r="K36" s="31" t="e">
        <f t="shared" ref="K36:K54" si="18">I36/H36*100-100</f>
        <v>#REF!</v>
      </c>
      <c r="L36" s="44">
        <f>L44</f>
        <v>256332.14</v>
      </c>
      <c r="M36" s="11">
        <f>SUM(M37:M46)</f>
        <v>704941.21</v>
      </c>
      <c r="N36" s="44" t="e">
        <f>SUM(N37:N46)</f>
        <v>#REF!</v>
      </c>
      <c r="O36" s="11" t="e">
        <f>SUM(O37:O46)</f>
        <v>#REF!</v>
      </c>
      <c r="P36" s="31" t="e">
        <f t="shared" ref="P36:P44" si="19">O36-N36</f>
        <v>#REF!</v>
      </c>
      <c r="Q36" s="61" t="e">
        <f t="shared" ref="Q36:Q44" si="20">O36/N36*100-100</f>
        <v>#REF!</v>
      </c>
      <c r="R36" s="242"/>
    </row>
    <row r="37" spans="1:20" s="3" customFormat="1">
      <c r="A37" s="158" t="s">
        <v>115</v>
      </c>
      <c r="B37" s="172" t="s">
        <v>11</v>
      </c>
      <c r="C37" s="258" t="s">
        <v>140</v>
      </c>
      <c r="D37" s="283"/>
      <c r="E37" s="283"/>
      <c r="F37" s="252">
        <f t="shared" ref="F37:F46" si="21">E37-D37</f>
        <v>0</v>
      </c>
      <c r="G37" s="252"/>
      <c r="H37" s="283" t="e">
        <f>#REF!+#REF!+D37+#REF!+#REF!</f>
        <v>#REF!</v>
      </c>
      <c r="I37" s="286" t="e">
        <f>#REF!+#REF!+E37+#REF!+#REF!</f>
        <v>#REF!</v>
      </c>
      <c r="J37" s="41" t="e">
        <f t="shared" si="17"/>
        <v>#REF!</v>
      </c>
      <c r="K37" s="41" t="e">
        <f t="shared" si="18"/>
        <v>#REF!</v>
      </c>
      <c r="L37" s="67"/>
      <c r="M37" s="12"/>
      <c r="N37" s="53" t="e">
        <f t="shared" ref="N37:N42" si="22">H37+L37</f>
        <v>#REF!</v>
      </c>
      <c r="O37" s="9" t="e">
        <f>#REF!+#REF!+E37+#REF!+#REF!+M37</f>
        <v>#REF!</v>
      </c>
      <c r="P37" s="21" t="e">
        <f t="shared" si="19"/>
        <v>#REF!</v>
      </c>
      <c r="Q37" s="54" t="e">
        <f t="shared" si="20"/>
        <v>#REF!</v>
      </c>
      <c r="R37" s="242"/>
      <c r="S37"/>
    </row>
    <row r="38" spans="1:20" s="3" customFormat="1">
      <c r="A38" s="158" t="s">
        <v>116</v>
      </c>
      <c r="B38" s="172" t="s">
        <v>12</v>
      </c>
      <c r="C38" s="258" t="s">
        <v>140</v>
      </c>
      <c r="D38" s="283">
        <v>2156.5100000000002</v>
      </c>
      <c r="E38" s="283">
        <f>2370000/1000*E81</f>
        <v>375.64499999999998</v>
      </c>
      <c r="F38" s="252">
        <f t="shared" si="21"/>
        <v>-1780.8650000000002</v>
      </c>
      <c r="G38" s="252">
        <f t="shared" ref="G38:G44" si="23">E38/D38*100-100</f>
        <v>-82.580883000774406</v>
      </c>
      <c r="H38" s="283" t="e">
        <f>#REF!+#REF!+D38+#REF!+#REF!</f>
        <v>#REF!</v>
      </c>
      <c r="I38" s="286" t="e">
        <f>#REF!+#REF!+E38+#REF!+#REF!</f>
        <v>#REF!</v>
      </c>
      <c r="J38" s="41" t="e">
        <f t="shared" si="17"/>
        <v>#REF!</v>
      </c>
      <c r="K38" s="131" t="e">
        <f>I38/H38*100-100</f>
        <v>#REF!</v>
      </c>
      <c r="L38" s="67"/>
      <c r="M38" s="12"/>
      <c r="N38" s="53" t="e">
        <f t="shared" si="22"/>
        <v>#REF!</v>
      </c>
      <c r="O38" s="9" t="e">
        <f>#REF!+#REF!+E38+#REF!+#REF!+M38</f>
        <v>#REF!</v>
      </c>
      <c r="P38" s="21" t="e">
        <f t="shared" si="19"/>
        <v>#REF!</v>
      </c>
      <c r="Q38" s="54" t="e">
        <f t="shared" si="20"/>
        <v>#REF!</v>
      </c>
      <c r="R38" s="242">
        <v>2370</v>
      </c>
      <c r="S38" s="96" t="e">
        <f>I38-R38</f>
        <v>#REF!</v>
      </c>
    </row>
    <row r="39" spans="1:20" s="3" customFormat="1">
      <c r="A39" s="158" t="s">
        <v>72</v>
      </c>
      <c r="B39" s="172" t="s">
        <v>13</v>
      </c>
      <c r="C39" s="258" t="s">
        <v>140</v>
      </c>
      <c r="D39" s="283">
        <v>2751.9</v>
      </c>
      <c r="E39" s="283">
        <f>1588986.14/1000</f>
        <v>1588.98614</v>
      </c>
      <c r="F39" s="252">
        <f t="shared" si="21"/>
        <v>-1162.9138600000001</v>
      </c>
      <c r="G39" s="252">
        <f t="shared" si="23"/>
        <v>-42.258579890257643</v>
      </c>
      <c r="H39" s="283" t="e">
        <f>#REF!+#REF!+D39+#REF!+#REF!</f>
        <v>#REF!</v>
      </c>
      <c r="I39" s="286" t="e">
        <f>#REF!+#REF!+E39+#REF!+#REF!</f>
        <v>#REF!</v>
      </c>
      <c r="J39" s="41" t="e">
        <f t="shared" si="17"/>
        <v>#REF!</v>
      </c>
      <c r="K39" s="131" t="e">
        <f t="shared" ref="K39" si="24">I39/H39*100-100</f>
        <v>#REF!</v>
      </c>
      <c r="L39" s="67"/>
      <c r="M39" s="12"/>
      <c r="N39" s="53" t="e">
        <f t="shared" si="22"/>
        <v>#REF!</v>
      </c>
      <c r="O39" s="9" t="e">
        <f>#REF!+#REF!+E39+#REF!+#REF!+M39</f>
        <v>#REF!</v>
      </c>
      <c r="P39" s="21" t="e">
        <f t="shared" si="19"/>
        <v>#REF!</v>
      </c>
      <c r="Q39" s="54" t="e">
        <f t="shared" si="20"/>
        <v>#REF!</v>
      </c>
      <c r="R39" s="242"/>
      <c r="S39" s="96"/>
    </row>
    <row r="40" spans="1:20" s="3" customFormat="1" ht="15" customHeight="1">
      <c r="A40" s="158" t="s">
        <v>73</v>
      </c>
      <c r="B40" s="172" t="s">
        <v>14</v>
      </c>
      <c r="C40" s="258" t="s">
        <v>140</v>
      </c>
      <c r="D40" s="283">
        <v>18693.52</v>
      </c>
      <c r="E40" s="283">
        <f>30541.45/1000*E81+5238.76/1000+13779.12/1000+991906.28/1000</f>
        <v>1015.7649798250001</v>
      </c>
      <c r="F40" s="252">
        <f t="shared" si="21"/>
        <v>-17677.755020175002</v>
      </c>
      <c r="G40" s="252">
        <f t="shared" si="23"/>
        <v>-94.566218776212295</v>
      </c>
      <c r="H40" s="283" t="e">
        <f>#REF!+#REF!+D40+#REF!+#REF!</f>
        <v>#REF!</v>
      </c>
      <c r="I40" s="286" t="e">
        <f>#REF!+#REF!+E40+#REF!+#REF!</f>
        <v>#REF!</v>
      </c>
      <c r="J40" s="41" t="e">
        <f t="shared" si="17"/>
        <v>#REF!</v>
      </c>
      <c r="K40" s="131" t="e">
        <f>I40/H40*100-100</f>
        <v>#REF!</v>
      </c>
      <c r="L40" s="67"/>
      <c r="M40" s="12"/>
      <c r="N40" s="53" t="e">
        <f t="shared" si="22"/>
        <v>#REF!</v>
      </c>
      <c r="O40" s="9" t="e">
        <f>#REF!+#REF!+E40+#REF!+#REF!+M40</f>
        <v>#REF!</v>
      </c>
      <c r="P40" s="21" t="e">
        <f t="shared" si="19"/>
        <v>#REF!</v>
      </c>
      <c r="Q40" s="54" t="e">
        <f t="shared" si="20"/>
        <v>#REF!</v>
      </c>
      <c r="R40" s="242">
        <v>20.622259999999997</v>
      </c>
      <c r="S40" s="96" t="e">
        <f t="shared" ref="S40:S41" si="25">I40-R40</f>
        <v>#REF!</v>
      </c>
    </row>
    <row r="41" spans="1:20" s="3" customFormat="1">
      <c r="A41" s="158" t="s">
        <v>74</v>
      </c>
      <c r="B41" s="172" t="s">
        <v>15</v>
      </c>
      <c r="C41" s="258" t="s">
        <v>140</v>
      </c>
      <c r="D41" s="283">
        <v>265.88</v>
      </c>
      <c r="E41" s="283">
        <f>(333246.43/1000+454957.69/1000)*E81</f>
        <v>124.93035302</v>
      </c>
      <c r="F41" s="252">
        <f t="shared" si="21"/>
        <v>-140.94964698000001</v>
      </c>
      <c r="G41" s="252">
        <f t="shared" si="23"/>
        <v>-53.012504505792087</v>
      </c>
      <c r="H41" s="283" t="e">
        <f>#REF!+#REF!+D41+#REF!+#REF!</f>
        <v>#REF!</v>
      </c>
      <c r="I41" s="286" t="e">
        <f>#REF!+#REF!+E41+#REF!+#REF!</f>
        <v>#REF!</v>
      </c>
      <c r="J41" s="41" t="e">
        <f t="shared" si="17"/>
        <v>#REF!</v>
      </c>
      <c r="K41" s="131" t="e">
        <f>I41/H41*100-100</f>
        <v>#REF!</v>
      </c>
      <c r="L41" s="67"/>
      <c r="M41" s="12"/>
      <c r="N41" s="53" t="e">
        <f t="shared" si="22"/>
        <v>#REF!</v>
      </c>
      <c r="O41" s="9" t="e">
        <f>#REF!+#REF!+E41+#REF!+#REF!+M41</f>
        <v>#REF!</v>
      </c>
      <c r="P41" s="21" t="e">
        <f t="shared" si="19"/>
        <v>#REF!</v>
      </c>
      <c r="Q41" s="54" t="e">
        <f t="shared" si="20"/>
        <v>#REF!</v>
      </c>
      <c r="R41" s="242">
        <v>788.20411999999999</v>
      </c>
      <c r="S41" s="96" t="e">
        <f t="shared" si="25"/>
        <v>#REF!</v>
      </c>
    </row>
    <row r="42" spans="1:20" s="3" customFormat="1" ht="47.25" hidden="1">
      <c r="A42" s="158" t="s">
        <v>117</v>
      </c>
      <c r="B42" s="172" t="s">
        <v>118</v>
      </c>
      <c r="C42" s="258" t="s">
        <v>140</v>
      </c>
      <c r="D42" s="283"/>
      <c r="E42" s="283"/>
      <c r="F42" s="252">
        <f t="shared" si="21"/>
        <v>0</v>
      </c>
      <c r="G42" s="252" t="e">
        <f t="shared" si="23"/>
        <v>#DIV/0!</v>
      </c>
      <c r="H42" s="283" t="e">
        <f>#REF!+#REF!+D42+#REF!+#REF!</f>
        <v>#REF!</v>
      </c>
      <c r="I42" s="286" t="e">
        <f>#REF!+#REF!+E42+#REF!+#REF!</f>
        <v>#REF!</v>
      </c>
      <c r="J42" s="41" t="e">
        <f t="shared" si="17"/>
        <v>#REF!</v>
      </c>
      <c r="K42" s="41" t="e">
        <f t="shared" si="18"/>
        <v>#REF!</v>
      </c>
      <c r="L42" s="67"/>
      <c r="M42" s="12"/>
      <c r="N42" s="53" t="e">
        <f t="shared" si="22"/>
        <v>#REF!</v>
      </c>
      <c r="O42" s="9" t="e">
        <f>#REF!+#REF!+E42+#REF!+#REF!+M42</f>
        <v>#REF!</v>
      </c>
      <c r="P42" s="21" t="e">
        <f t="shared" si="19"/>
        <v>#REF!</v>
      </c>
      <c r="Q42" s="54" t="e">
        <f t="shared" si="20"/>
        <v>#REF!</v>
      </c>
      <c r="R42" s="242"/>
    </row>
    <row r="43" spans="1:20" s="3" customFormat="1" hidden="1">
      <c r="A43" s="158" t="s">
        <v>123</v>
      </c>
      <c r="B43" s="172" t="s">
        <v>10</v>
      </c>
      <c r="C43" s="258" t="s">
        <v>140</v>
      </c>
      <c r="D43" s="283"/>
      <c r="E43" s="287"/>
      <c r="F43" s="288">
        <f t="shared" si="21"/>
        <v>0</v>
      </c>
      <c r="G43" s="252" t="e">
        <f t="shared" si="23"/>
        <v>#DIV/0!</v>
      </c>
      <c r="H43" s="283" t="e">
        <f>#REF!+#REF!+D43+#REF!+#REF!</f>
        <v>#REF!</v>
      </c>
      <c r="I43" s="286" t="e">
        <f>#REF!+#REF!+E43+#REF!+#REF!</f>
        <v>#REF!</v>
      </c>
      <c r="J43" s="41" t="e">
        <f t="shared" si="17"/>
        <v>#REF!</v>
      </c>
      <c r="K43" s="131" t="e">
        <f t="shared" si="18"/>
        <v>#REF!</v>
      </c>
      <c r="L43" s="67"/>
      <c r="M43" s="12"/>
      <c r="N43" s="53" t="e">
        <f>H43+L43</f>
        <v>#REF!</v>
      </c>
      <c r="O43" s="9" t="e">
        <f>#REF!+#REF!+E43+#REF!+#REF!+M43</f>
        <v>#REF!</v>
      </c>
      <c r="P43" s="21" t="e">
        <f t="shared" si="19"/>
        <v>#REF!</v>
      </c>
      <c r="Q43" s="54" t="e">
        <f t="shared" si="20"/>
        <v>#REF!</v>
      </c>
      <c r="R43" s="242"/>
    </row>
    <row r="44" spans="1:20" s="3" customFormat="1" hidden="1">
      <c r="A44" s="158" t="s">
        <v>75</v>
      </c>
      <c r="B44" s="172" t="s">
        <v>119</v>
      </c>
      <c r="C44" s="258" t="s">
        <v>140</v>
      </c>
      <c r="D44" s="283">
        <v>537704.24</v>
      </c>
      <c r="E44" s="283">
        <f>354217658.03/1000</f>
        <v>354217.65802999999</v>
      </c>
      <c r="F44" s="252">
        <f t="shared" si="21"/>
        <v>-183486.58197</v>
      </c>
      <c r="G44" s="252">
        <f t="shared" si="23"/>
        <v>-34.124071993555418</v>
      </c>
      <c r="H44" s="283" t="e">
        <f>#REF!+#REF!+D44+#REF!+#REF!</f>
        <v>#REF!</v>
      </c>
      <c r="I44" s="286" t="e">
        <f>#REF!+#REF!+E44+#REF!+#REF!</f>
        <v>#REF!</v>
      </c>
      <c r="J44" s="41" t="e">
        <f t="shared" si="17"/>
        <v>#REF!</v>
      </c>
      <c r="K44" s="131" t="e">
        <f>I44/H44*100-100</f>
        <v>#REF!</v>
      </c>
      <c r="L44" s="53">
        <v>256332.14</v>
      </c>
      <c r="M44" s="9">
        <v>704941.21</v>
      </c>
      <c r="N44" s="53" t="e">
        <f>H44+L44</f>
        <v>#REF!</v>
      </c>
      <c r="O44" s="9" t="e">
        <f>#REF!+#REF!+E44+#REF!+#REF!+M44</f>
        <v>#REF!</v>
      </c>
      <c r="P44" s="21" t="e">
        <f t="shared" si="19"/>
        <v>#REF!</v>
      </c>
      <c r="Q44" s="54" t="e">
        <f t="shared" si="20"/>
        <v>#REF!</v>
      </c>
      <c r="R44" s="242"/>
    </row>
    <row r="45" spans="1:20" s="3" customFormat="1" hidden="1">
      <c r="A45" s="158" t="s">
        <v>148</v>
      </c>
      <c r="B45" s="172" t="s">
        <v>121</v>
      </c>
      <c r="C45" s="258" t="s">
        <v>140</v>
      </c>
      <c r="D45" s="283"/>
      <c r="E45" s="283"/>
      <c r="F45" s="252">
        <f t="shared" si="21"/>
        <v>0</v>
      </c>
      <c r="G45" s="252"/>
      <c r="H45" s="283" t="e">
        <f>#REF!+#REF!+D45+#REF!+#REF!</f>
        <v>#REF!</v>
      </c>
      <c r="I45" s="286" t="e">
        <f>#REF!+#REF!+E45+#REF!+#REF!</f>
        <v>#REF!</v>
      </c>
      <c r="J45" s="41"/>
      <c r="K45" s="131"/>
      <c r="L45" s="67"/>
      <c r="M45" s="12"/>
      <c r="N45" s="53" t="e">
        <f>H45+L45</f>
        <v>#REF!</v>
      </c>
      <c r="O45" s="9" t="e">
        <f>#REF!+#REF!+E45+#REF!+#REF!+M45</f>
        <v>#REF!</v>
      </c>
      <c r="P45" s="21"/>
      <c r="Q45" s="54"/>
      <c r="R45" s="242"/>
    </row>
    <row r="46" spans="1:20" s="3" customFormat="1" ht="47.25">
      <c r="A46" s="158" t="s">
        <v>149</v>
      </c>
      <c r="B46" s="172" t="s">
        <v>122</v>
      </c>
      <c r="C46" s="258" t="s">
        <v>140</v>
      </c>
      <c r="D46" s="283"/>
      <c r="E46" s="283"/>
      <c r="F46" s="252">
        <f t="shared" si="21"/>
        <v>0</v>
      </c>
      <c r="G46" s="252"/>
      <c r="H46" s="283" t="e">
        <f>#REF!+#REF!+D46+#REF!+#REF!</f>
        <v>#REF!</v>
      </c>
      <c r="I46" s="286" t="e">
        <f>#REF!+#REF!+E46+#REF!+#REF!</f>
        <v>#REF!</v>
      </c>
      <c r="J46" s="41" t="e">
        <f>I46-H46</f>
        <v>#REF!</v>
      </c>
      <c r="K46" s="131" t="e">
        <f t="shared" si="18"/>
        <v>#REF!</v>
      </c>
      <c r="L46" s="67"/>
      <c r="M46" s="12"/>
      <c r="N46" s="53" t="e">
        <f>H46+L46</f>
        <v>#REF!</v>
      </c>
      <c r="O46" s="9" t="e">
        <f>#REF!+#REF!+E46+#REF!+#REF!+M46</f>
        <v>#REF!</v>
      </c>
      <c r="P46" s="21" t="e">
        <f>O46-N46</f>
        <v>#REF!</v>
      </c>
      <c r="Q46" s="54" t="e">
        <f>O46/N46*100-100</f>
        <v>#REF!</v>
      </c>
      <c r="R46" s="242"/>
    </row>
    <row r="47" spans="1:20">
      <c r="A47" s="159" t="s">
        <v>16</v>
      </c>
      <c r="B47" s="173" t="s">
        <v>150</v>
      </c>
      <c r="C47" s="260" t="s">
        <v>140</v>
      </c>
      <c r="D47" s="277">
        <f t="shared" ref="D47:Q47" si="26">D48+D82</f>
        <v>59126.51</v>
      </c>
      <c r="E47" s="277">
        <f t="shared" si="26"/>
        <v>19905.53291057</v>
      </c>
      <c r="F47" s="277">
        <f t="shared" si="26"/>
        <v>-39220.977089430002</v>
      </c>
      <c r="G47" s="277">
        <f t="shared" ref="G47:G50" si="27">E47/D47*100-100</f>
        <v>-66.333996526143693</v>
      </c>
      <c r="H47" s="277" t="e">
        <f t="shared" si="26"/>
        <v>#REF!</v>
      </c>
      <c r="I47" s="277" t="e">
        <f t="shared" si="26"/>
        <v>#REF!</v>
      </c>
      <c r="J47" s="277" t="e">
        <f t="shared" si="26"/>
        <v>#REF!</v>
      </c>
      <c r="K47" s="277" t="e">
        <f t="shared" si="26"/>
        <v>#REF!</v>
      </c>
      <c r="L47" s="277">
        <f t="shared" si="26"/>
        <v>0</v>
      </c>
      <c r="M47" s="277">
        <f t="shared" si="26"/>
        <v>0</v>
      </c>
      <c r="N47" s="277" t="e">
        <f t="shared" si="26"/>
        <v>#REF!</v>
      </c>
      <c r="O47" s="277" t="e">
        <f t="shared" si="26"/>
        <v>#REF!</v>
      </c>
      <c r="P47" s="277" t="e">
        <f t="shared" si="26"/>
        <v>#REF!</v>
      </c>
      <c r="Q47" s="277" t="e">
        <f t="shared" si="26"/>
        <v>#REF!</v>
      </c>
      <c r="R47" s="242"/>
    </row>
    <row r="48" spans="1:20" ht="31.5">
      <c r="A48" s="157" t="s">
        <v>151</v>
      </c>
      <c r="B48" s="169" t="s">
        <v>17</v>
      </c>
      <c r="C48" s="257" t="s">
        <v>140</v>
      </c>
      <c r="D48" s="280">
        <f t="shared" ref="D48:I48" si="28">SUM(D49:D53)</f>
        <v>59126.51</v>
      </c>
      <c r="E48" s="280">
        <f t="shared" si="28"/>
        <v>19905.53291057</v>
      </c>
      <c r="F48" s="280">
        <f t="shared" si="28"/>
        <v>-39220.977089430002</v>
      </c>
      <c r="G48" s="280">
        <f t="shared" si="27"/>
        <v>-66.333996526143693</v>
      </c>
      <c r="H48" s="280" t="e">
        <f t="shared" si="28"/>
        <v>#REF!</v>
      </c>
      <c r="I48" s="280" t="e">
        <f t="shared" si="28"/>
        <v>#REF!</v>
      </c>
      <c r="J48" s="31" t="e">
        <f>I48-H48</f>
        <v>#REF!</v>
      </c>
      <c r="K48" s="131" t="e">
        <f t="shared" si="18"/>
        <v>#REF!</v>
      </c>
      <c r="L48" s="44"/>
      <c r="M48" s="11"/>
      <c r="N48" s="44" t="e">
        <f>SUM(N49:N53)</f>
        <v>#REF!</v>
      </c>
      <c r="O48" s="11" t="e">
        <f>SUM(O49:O53)</f>
        <v>#REF!</v>
      </c>
      <c r="P48" s="31" t="e">
        <f>O48-N48</f>
        <v>#REF!</v>
      </c>
      <c r="Q48" s="61" t="e">
        <f>O48/N48*100-100</f>
        <v>#REF!</v>
      </c>
      <c r="R48" s="242"/>
    </row>
    <row r="49" spans="1:20" s="3" customFormat="1" ht="31.5">
      <c r="A49" s="158" t="s">
        <v>76</v>
      </c>
      <c r="B49" s="170" t="s">
        <v>18</v>
      </c>
      <c r="C49" s="258" t="s">
        <v>140</v>
      </c>
      <c r="D49" s="283">
        <v>18953.52</v>
      </c>
      <c r="E49" s="283">
        <f>(3344750/1000+40013954/1000+23941584/1000+53150/1000+300000/1000)*E81</f>
        <v>10723.069922999999</v>
      </c>
      <c r="F49" s="252">
        <f t="shared" ref="F49:F52" si="29">E49-D49</f>
        <v>-8230.4500770000013</v>
      </c>
      <c r="G49" s="252">
        <f t="shared" si="27"/>
        <v>-43.424388066174522</v>
      </c>
      <c r="H49" s="283" t="e">
        <f>#REF!+#REF!+D49+#REF!+#REF!</f>
        <v>#REF!</v>
      </c>
      <c r="I49" s="283" t="e">
        <f>#REF!+#REF!+E49+#REF!+#REF!</f>
        <v>#REF!</v>
      </c>
      <c r="J49" s="41" t="e">
        <f>I49-H49</f>
        <v>#REF!</v>
      </c>
      <c r="K49" s="41" t="e">
        <f t="shared" si="18"/>
        <v>#REF!</v>
      </c>
      <c r="L49" s="53"/>
      <c r="M49" s="9"/>
      <c r="N49" s="53" t="e">
        <f>H49+L49</f>
        <v>#REF!</v>
      </c>
      <c r="O49" s="9" t="e">
        <f>#REF!+#REF!+E49+#REF!+#REF!+M49</f>
        <v>#REF!</v>
      </c>
      <c r="P49" s="21" t="e">
        <f>O49-N49</f>
        <v>#REF!</v>
      </c>
      <c r="Q49" s="54" t="e">
        <f>O49/N49*100-100</f>
        <v>#REF!</v>
      </c>
      <c r="R49" s="242">
        <v>63567.159</v>
      </c>
      <c r="S49" s="96" t="e">
        <f t="shared" ref="S49:S78" si="30">I49-R49</f>
        <v>#REF!</v>
      </c>
    </row>
    <row r="50" spans="1:20" s="3" customFormat="1">
      <c r="A50" s="158" t="s">
        <v>77</v>
      </c>
      <c r="B50" s="170" t="s">
        <v>171</v>
      </c>
      <c r="C50" s="258" t="s">
        <v>140</v>
      </c>
      <c r="D50" s="283">
        <v>1620.53</v>
      </c>
      <c r="E50" s="283">
        <f>(1752108.17/1000+3605704.18/1000)*E81</f>
        <v>849.21325747500009</v>
      </c>
      <c r="F50" s="252">
        <f t="shared" si="29"/>
        <v>-771.31674252499988</v>
      </c>
      <c r="G50" s="252">
        <f t="shared" si="27"/>
        <v>-47.59657288202007</v>
      </c>
      <c r="H50" s="283" t="e">
        <f>#REF!+#REF!+D50+#REF!+#REF!</f>
        <v>#REF!</v>
      </c>
      <c r="I50" s="283" t="e">
        <f>#REF!+#REF!+E50+#REF!+#REF!</f>
        <v>#REF!</v>
      </c>
      <c r="J50" s="41" t="e">
        <f>I50-H50</f>
        <v>#REF!</v>
      </c>
      <c r="K50" s="41" t="e">
        <f t="shared" si="18"/>
        <v>#REF!</v>
      </c>
      <c r="L50" s="53"/>
      <c r="M50" s="9"/>
      <c r="N50" s="53" t="e">
        <f>H50+L50</f>
        <v>#REF!</v>
      </c>
      <c r="O50" s="9" t="e">
        <f>#REF!+#REF!+E50+#REF!+#REF!+M50</f>
        <v>#REF!</v>
      </c>
      <c r="P50" s="21" t="e">
        <f>O50-N50</f>
        <v>#REF!</v>
      </c>
      <c r="Q50" s="54" t="e">
        <f>O50/N50*100-100</f>
        <v>#REF!</v>
      </c>
      <c r="R50" s="242">
        <v>5014.9203500000003</v>
      </c>
      <c r="S50" s="96" t="e">
        <f t="shared" si="30"/>
        <v>#REF!</v>
      </c>
    </row>
    <row r="51" spans="1:20" s="3" customFormat="1">
      <c r="A51" s="158"/>
      <c r="B51" s="170" t="s">
        <v>169</v>
      </c>
      <c r="C51" s="258"/>
      <c r="D51" s="283"/>
      <c r="E51" s="283">
        <f>1783664.87/1000*E81</f>
        <v>282.710881895</v>
      </c>
      <c r="F51" s="252">
        <f t="shared" si="29"/>
        <v>282.710881895</v>
      </c>
      <c r="G51" s="252"/>
      <c r="H51" s="283" t="e">
        <f>#REF!+#REF!+D51+#REF!+#REF!</f>
        <v>#REF!</v>
      </c>
      <c r="I51" s="283" t="e">
        <f>#REF!+#REF!+E51+#REF!+#REF!</f>
        <v>#REF!</v>
      </c>
      <c r="J51" s="97"/>
      <c r="K51" s="41" t="e">
        <f t="shared" si="18"/>
        <v>#REF!</v>
      </c>
      <c r="L51" s="91"/>
      <c r="M51" s="86"/>
      <c r="N51" s="91"/>
      <c r="O51" s="9" t="e">
        <f>#REF!+#REF!+E51+#REF!+#REF!+M51</f>
        <v>#REF!</v>
      </c>
      <c r="P51" s="92"/>
      <c r="Q51" s="93"/>
      <c r="R51" s="242">
        <v>1681.2608700000001</v>
      </c>
      <c r="S51" s="96" t="e">
        <f t="shared" si="30"/>
        <v>#REF!</v>
      </c>
    </row>
    <row r="52" spans="1:20" s="3" customFormat="1">
      <c r="A52" s="158" t="s">
        <v>78</v>
      </c>
      <c r="B52" s="170" t="s">
        <v>19</v>
      </c>
      <c r="C52" s="258" t="s">
        <v>140</v>
      </c>
      <c r="D52" s="283">
        <v>14845.89</v>
      </c>
      <c r="E52" s="283">
        <f>(91890/1000+1496164/1000+261554/1000-17480758.28/1000+25504390/1000)*E81+13867.76/1000</f>
        <v>1578.7762556199998</v>
      </c>
      <c r="F52" s="252">
        <f t="shared" si="29"/>
        <v>-13267.11374438</v>
      </c>
      <c r="G52" s="252">
        <f t="shared" ref="G52" si="31">E52/D52*100-100</f>
        <v>-89.365566795793313</v>
      </c>
      <c r="H52" s="283" t="e">
        <f>#REF!+#REF!+D52+#REF!+#REF!</f>
        <v>#REF!</v>
      </c>
      <c r="I52" s="283" t="e">
        <f>#REF!+#REF!+E52+#REF!+#REF!</f>
        <v>#REF!</v>
      </c>
      <c r="J52" s="97" t="e">
        <f>I52-H52</f>
        <v>#REF!</v>
      </c>
      <c r="K52" s="41" t="e">
        <f t="shared" si="18"/>
        <v>#REF!</v>
      </c>
      <c r="L52" s="91"/>
      <c r="M52" s="86"/>
      <c r="N52" s="91" t="e">
        <f>H52+L52</f>
        <v>#REF!</v>
      </c>
      <c r="O52" s="9" t="e">
        <f>#REF!+#REF!+E52+#REF!+#REF!+M52</f>
        <v>#REF!</v>
      </c>
      <c r="P52" s="92" t="e">
        <f>O52-N52</f>
        <v>#REF!</v>
      </c>
      <c r="Q52" s="93" t="e">
        <f>O52/N52*100-100</f>
        <v>#REF!</v>
      </c>
      <c r="R52" s="242">
        <v>9873.2397199999996</v>
      </c>
      <c r="S52" s="96" t="e">
        <f t="shared" si="30"/>
        <v>#REF!</v>
      </c>
    </row>
    <row r="53" spans="1:20">
      <c r="A53" s="160" t="s">
        <v>79</v>
      </c>
      <c r="B53" s="169" t="s">
        <v>152</v>
      </c>
      <c r="C53" s="258" t="s">
        <v>140</v>
      </c>
      <c r="D53" s="280">
        <f t="shared" ref="D53:I53" si="32">SUM(D54:D80)</f>
        <v>23706.57</v>
      </c>
      <c r="E53" s="280">
        <f t="shared" si="32"/>
        <v>6471.7625925800003</v>
      </c>
      <c r="F53" s="280">
        <f t="shared" ref="F53" si="33">SUM(F54:F80)</f>
        <v>-17234.807407420001</v>
      </c>
      <c r="G53" s="280">
        <f>E53/D53*100-100</f>
        <v>-72.700552662911591</v>
      </c>
      <c r="H53" s="280">
        <f t="shared" si="32"/>
        <v>42564.135391949283</v>
      </c>
      <c r="I53" s="280" t="e">
        <f t="shared" si="32"/>
        <v>#REF!</v>
      </c>
      <c r="J53" s="31" t="e">
        <f>I53-H53</f>
        <v>#REF!</v>
      </c>
      <c r="K53" s="31" t="e">
        <f t="shared" si="18"/>
        <v>#REF!</v>
      </c>
      <c r="L53" s="44"/>
      <c r="M53" s="11"/>
      <c r="N53" s="44">
        <f>SUM(N54:N80)</f>
        <v>42564.135391949283</v>
      </c>
      <c r="O53" s="11" t="e">
        <f>SUM(O54:O80)</f>
        <v>#REF!</v>
      </c>
      <c r="P53" s="31" t="e">
        <f>O53-N53</f>
        <v>#REF!</v>
      </c>
      <c r="Q53" s="61" t="e">
        <f>O53/N53*100-100</f>
        <v>#REF!</v>
      </c>
      <c r="R53" s="242"/>
      <c r="S53" s="96"/>
    </row>
    <row r="54" spans="1:20" s="3" customFormat="1">
      <c r="A54" s="158" t="s">
        <v>80</v>
      </c>
      <c r="B54" s="172" t="s">
        <v>20</v>
      </c>
      <c r="C54" s="261" t="s">
        <v>140</v>
      </c>
      <c r="D54" s="283">
        <v>184.49</v>
      </c>
      <c r="E54" s="283">
        <f>(755322.75/1000+499887.49/1000+304684.28/1000)*E81</f>
        <v>247.24328142000002</v>
      </c>
      <c r="F54" s="252">
        <f>E54-D54</f>
        <v>62.753281420000008</v>
      </c>
      <c r="G54" s="252">
        <f>E54/D54*100-100</f>
        <v>34.014462258116964</v>
      </c>
      <c r="H54" s="283">
        <v>2700.8048642946674</v>
      </c>
      <c r="I54" s="283" t="e">
        <f>#REF!+#REF!+E54+#REF!+#REF!</f>
        <v>#REF!</v>
      </c>
      <c r="J54" s="41" t="e">
        <f>I54-H54</f>
        <v>#REF!</v>
      </c>
      <c r="K54" s="41" t="e">
        <f t="shared" si="18"/>
        <v>#REF!</v>
      </c>
      <c r="L54" s="53"/>
      <c r="M54" s="9"/>
      <c r="N54" s="53">
        <f>H54+L54</f>
        <v>2700.8048642946674</v>
      </c>
      <c r="O54" s="9" t="e">
        <f>#REF!+#REF!+E54+#REF!+#REF!+M54</f>
        <v>#REF!</v>
      </c>
      <c r="P54" s="21" t="e">
        <f>O54-N54</f>
        <v>#REF!</v>
      </c>
      <c r="Q54" s="54" t="e">
        <f>O54/N54*100-100</f>
        <v>#REF!</v>
      </c>
      <c r="R54" s="242">
        <v>1339.9641200000001</v>
      </c>
      <c r="S54" s="96" t="e">
        <f t="shared" si="30"/>
        <v>#REF!</v>
      </c>
    </row>
    <row r="55" spans="1:20" s="3" customFormat="1">
      <c r="A55" s="158" t="s">
        <v>81</v>
      </c>
      <c r="B55" s="172" t="s">
        <v>21</v>
      </c>
      <c r="C55" s="261" t="s">
        <v>140</v>
      </c>
      <c r="D55" s="283"/>
      <c r="E55" s="283"/>
      <c r="F55" s="252"/>
      <c r="G55" s="252"/>
      <c r="H55" s="283"/>
      <c r="I55" s="283"/>
      <c r="J55" s="21"/>
      <c r="K55" s="21"/>
      <c r="L55" s="53"/>
      <c r="M55" s="9"/>
      <c r="N55" s="53"/>
      <c r="O55" s="9" t="e">
        <f>#REF!+#REF!+E55+#REF!+#REF!+M55</f>
        <v>#REF!</v>
      </c>
      <c r="P55" s="21"/>
      <c r="Q55" s="54"/>
      <c r="R55" s="242">
        <v>2809.5409599999998</v>
      </c>
      <c r="S55" s="96">
        <f t="shared" si="30"/>
        <v>-2809.5409599999998</v>
      </c>
    </row>
    <row r="56" spans="1:20" s="3" customFormat="1">
      <c r="A56" s="158" t="s">
        <v>82</v>
      </c>
      <c r="B56" s="172" t="s">
        <v>22</v>
      </c>
      <c r="C56" s="261" t="s">
        <v>140</v>
      </c>
      <c r="D56" s="283">
        <v>58.85</v>
      </c>
      <c r="E56" s="283"/>
      <c r="F56" s="252">
        <f t="shared" ref="F56:F79" si="34">E56-D56</f>
        <v>-58.85</v>
      </c>
      <c r="G56" s="252">
        <f t="shared" ref="G56:G58" si="35">E56/D56*100-100</f>
        <v>-100</v>
      </c>
      <c r="H56" s="283">
        <v>30.573602399999999</v>
      </c>
      <c r="I56" s="283" t="e">
        <f>#REF!+#REF!+E56+#REF!+#REF!</f>
        <v>#REF!</v>
      </c>
      <c r="J56" s="26">
        <v>51.106397600000022</v>
      </c>
      <c r="K56" s="131" t="e">
        <f t="shared" ref="K56:K80" si="36">I56/H56*100-100</f>
        <v>#REF!</v>
      </c>
      <c r="L56" s="53"/>
      <c r="M56" s="9"/>
      <c r="N56" s="53">
        <f t="shared" ref="N56:N80" si="37">H56+L56</f>
        <v>30.573602399999999</v>
      </c>
      <c r="O56" s="9" t="e">
        <f>#REF!+#REF!+E56+#REF!+#REF!+M56</f>
        <v>#REF!</v>
      </c>
      <c r="P56" s="21"/>
      <c r="Q56" s="54"/>
      <c r="R56" s="242"/>
      <c r="S56" s="96"/>
    </row>
    <row r="57" spans="1:20" s="3" customFormat="1">
      <c r="A57" s="158" t="s">
        <v>153</v>
      </c>
      <c r="B57" s="172" t="s">
        <v>23</v>
      </c>
      <c r="C57" s="261" t="s">
        <v>140</v>
      </c>
      <c r="D57" s="283">
        <v>6.5</v>
      </c>
      <c r="E57" s="283"/>
      <c r="F57" s="252">
        <f t="shared" si="34"/>
        <v>-6.5</v>
      </c>
      <c r="G57" s="252">
        <f t="shared" si="35"/>
        <v>-100</v>
      </c>
      <c r="H57" s="283">
        <v>33.778467930476666</v>
      </c>
      <c r="I57" s="283" t="e">
        <f>#REF!+#REF!+E57+#REF!+#REF!</f>
        <v>#REF!</v>
      </c>
      <c r="J57" s="26">
        <v>3393.1415320695232</v>
      </c>
      <c r="K57" s="131" t="e">
        <f t="shared" si="36"/>
        <v>#REF!</v>
      </c>
      <c r="L57" s="53"/>
      <c r="M57" s="9"/>
      <c r="N57" s="53">
        <f t="shared" si="37"/>
        <v>33.778467930476666</v>
      </c>
      <c r="O57" s="9" t="e">
        <f>#REF!+#REF!+E57+#REF!+#REF!+M57</f>
        <v>#REF!</v>
      </c>
      <c r="P57" s="21" t="e">
        <f t="shared" ref="P57:P63" si="38">O57-N57</f>
        <v>#REF!</v>
      </c>
      <c r="Q57" s="54" t="e">
        <f t="shared" ref="Q57:Q63" si="39">O57/N57*100-100</f>
        <v>#REF!</v>
      </c>
      <c r="R57" s="242"/>
      <c r="S57" s="96"/>
    </row>
    <row r="58" spans="1:20" s="3" customFormat="1">
      <c r="A58" s="158" t="s">
        <v>83</v>
      </c>
      <c r="B58" s="172" t="s">
        <v>24</v>
      </c>
      <c r="C58" s="261" t="s">
        <v>140</v>
      </c>
      <c r="D58" s="283">
        <v>372.74</v>
      </c>
      <c r="E58" s="283">
        <f>(10714.28/1000+90142.86/1000+1852651.34/1000)*E81</f>
        <v>309.63109408000003</v>
      </c>
      <c r="F58" s="252">
        <f t="shared" si="34"/>
        <v>-63.108905919999984</v>
      </c>
      <c r="G58" s="252">
        <f t="shared" si="35"/>
        <v>-16.931079551429946</v>
      </c>
      <c r="H58" s="283">
        <v>2308.1666133103577</v>
      </c>
      <c r="I58" s="283" t="e">
        <f>#REF!+#REF!+E58+#REF!+#REF!</f>
        <v>#REF!</v>
      </c>
      <c r="J58" s="26">
        <v>-1403.8566133103577</v>
      </c>
      <c r="K58" s="131" t="e">
        <f t="shared" si="36"/>
        <v>#REF!</v>
      </c>
      <c r="L58" s="53"/>
      <c r="M58" s="9"/>
      <c r="N58" s="53">
        <f t="shared" si="37"/>
        <v>2308.1666133103577</v>
      </c>
      <c r="O58" s="9" t="e">
        <f>#REF!+#REF!+E58+#REF!+#REF!+M58</f>
        <v>#REF!</v>
      </c>
      <c r="P58" s="21" t="e">
        <f t="shared" si="38"/>
        <v>#REF!</v>
      </c>
      <c r="Q58" s="54" t="e">
        <f t="shared" si="39"/>
        <v>#REF!</v>
      </c>
      <c r="R58" s="242">
        <v>1770.1242299999999</v>
      </c>
      <c r="S58" s="96" t="e">
        <f t="shared" si="30"/>
        <v>#REF!</v>
      </c>
    </row>
    <row r="59" spans="1:20" s="3" customFormat="1">
      <c r="A59" s="158" t="s">
        <v>84</v>
      </c>
      <c r="B59" s="172" t="s">
        <v>25</v>
      </c>
      <c r="C59" s="261" t="s">
        <v>140</v>
      </c>
      <c r="D59" s="283"/>
      <c r="E59" s="283">
        <f>246740/1000*E81</f>
        <v>39.108290000000004</v>
      </c>
      <c r="F59" s="252">
        <f t="shared" si="34"/>
        <v>39.108290000000004</v>
      </c>
      <c r="G59" s="252"/>
      <c r="H59" s="283">
        <v>82.598847300000003</v>
      </c>
      <c r="I59" s="283" t="e">
        <f>#REF!+#REF!+E59+#REF!+#REF!</f>
        <v>#REF!</v>
      </c>
      <c r="J59" s="21">
        <v>148.14115270000002</v>
      </c>
      <c r="K59" s="131" t="e">
        <f t="shared" si="36"/>
        <v>#REF!</v>
      </c>
      <c r="L59" s="53"/>
      <c r="M59" s="9"/>
      <c r="N59" s="53">
        <f t="shared" si="37"/>
        <v>82.598847300000003</v>
      </c>
      <c r="O59" s="9" t="e">
        <f>#REF!+#REF!+E59+#REF!+#REF!+M59</f>
        <v>#REF!</v>
      </c>
      <c r="P59" s="21" t="e">
        <f t="shared" si="38"/>
        <v>#REF!</v>
      </c>
      <c r="Q59" s="54" t="e">
        <f t="shared" si="39"/>
        <v>#REF!</v>
      </c>
      <c r="R59" s="242">
        <v>246.74</v>
      </c>
      <c r="S59" s="96" t="e">
        <f t="shared" si="30"/>
        <v>#REF!</v>
      </c>
    </row>
    <row r="60" spans="1:20" s="3" customFormat="1">
      <c r="A60" s="158" t="s">
        <v>154</v>
      </c>
      <c r="B60" s="172" t="s">
        <v>26</v>
      </c>
      <c r="C60" s="261" t="s">
        <v>140</v>
      </c>
      <c r="D60" s="283">
        <v>4132.5600000000004</v>
      </c>
      <c r="E60" s="283">
        <f>(4450500/1000+885547.97/1000)*E81</f>
        <v>845.7636032449999</v>
      </c>
      <c r="F60" s="252">
        <f t="shared" si="34"/>
        <v>-3286.7963967550004</v>
      </c>
      <c r="G60" s="252">
        <f t="shared" ref="G60:G63" si="40">E60/D60*100-100</f>
        <v>-79.534148246002474</v>
      </c>
      <c r="H60" s="283">
        <v>10181.643933488001</v>
      </c>
      <c r="I60" s="283" t="e">
        <f>#REF!+#REF!+E60+#REF!+#REF!</f>
        <v>#REF!</v>
      </c>
      <c r="J60" s="21">
        <v>417.57457651199911</v>
      </c>
      <c r="K60" s="131" t="e">
        <f t="shared" si="36"/>
        <v>#REF!</v>
      </c>
      <c r="L60" s="53"/>
      <c r="M60" s="9"/>
      <c r="N60" s="53">
        <f t="shared" si="37"/>
        <v>10181.643933488001</v>
      </c>
      <c r="O60" s="9" t="e">
        <f>#REF!+#REF!+E60+#REF!+#REF!+M60</f>
        <v>#REF!</v>
      </c>
      <c r="P60" s="21" t="e">
        <f t="shared" si="38"/>
        <v>#REF!</v>
      </c>
      <c r="Q60" s="54" t="e">
        <f t="shared" si="39"/>
        <v>#REF!</v>
      </c>
      <c r="R60" s="242">
        <v>3561.9602100000002</v>
      </c>
      <c r="S60" s="96" t="e">
        <f t="shared" si="30"/>
        <v>#REF!</v>
      </c>
      <c r="T60" s="132"/>
    </row>
    <row r="61" spans="1:20" s="77" customFormat="1">
      <c r="A61" s="158" t="s">
        <v>85</v>
      </c>
      <c r="B61" s="172" t="s">
        <v>27</v>
      </c>
      <c r="C61" s="261" t="s">
        <v>140</v>
      </c>
      <c r="D61" s="283">
        <v>986.66499999999996</v>
      </c>
      <c r="E61" s="283">
        <f>(20089.28/1000+215000/1000+52250/1000)*E81</f>
        <v>45.543275880000003</v>
      </c>
      <c r="F61" s="252">
        <f t="shared" si="34"/>
        <v>-941.12172411999995</v>
      </c>
      <c r="G61" s="252">
        <f t="shared" si="40"/>
        <v>-95.384119647499404</v>
      </c>
      <c r="H61" s="283">
        <v>1230.9849999999997</v>
      </c>
      <c r="I61" s="283" t="e">
        <f>#REF!+#REF!+E61+#REF!+#REF!</f>
        <v>#REF!</v>
      </c>
      <c r="J61" s="21">
        <v>-1150.6249999999998</v>
      </c>
      <c r="K61" s="131" t="e">
        <f t="shared" si="36"/>
        <v>#REF!</v>
      </c>
      <c r="L61" s="53"/>
      <c r="M61" s="9"/>
      <c r="N61" s="53">
        <f t="shared" si="37"/>
        <v>1230.9849999999997</v>
      </c>
      <c r="O61" s="9" t="e">
        <f>#REF!+#REF!+E61+#REF!+#REF!+M61</f>
        <v>#REF!</v>
      </c>
      <c r="P61" s="21" t="e">
        <f t="shared" si="38"/>
        <v>#REF!</v>
      </c>
      <c r="Q61" s="55" t="e">
        <f t="shared" si="39"/>
        <v>#REF!</v>
      </c>
      <c r="R61" s="242">
        <v>510.08927999999997</v>
      </c>
      <c r="S61" s="96" t="e">
        <f t="shared" si="30"/>
        <v>#REF!</v>
      </c>
    </row>
    <row r="62" spans="1:20" s="98" customFormat="1">
      <c r="A62" s="158" t="s">
        <v>86</v>
      </c>
      <c r="B62" s="172" t="s">
        <v>28</v>
      </c>
      <c r="C62" s="262" t="s">
        <v>140</v>
      </c>
      <c r="D62" s="283">
        <v>237.745</v>
      </c>
      <c r="E62" s="283">
        <f>1326559.61/1000*E81</f>
        <v>210.25969818500002</v>
      </c>
      <c r="F62" s="252">
        <f t="shared" si="34"/>
        <v>-27.485301814999985</v>
      </c>
      <c r="G62" s="252">
        <f t="shared" si="40"/>
        <v>-11.560832747271235</v>
      </c>
      <c r="H62" s="283">
        <v>430.34440281600007</v>
      </c>
      <c r="I62" s="283" t="e">
        <f>#REF!+#REF!+E62+#REF!+#REF!</f>
        <v>#REF!</v>
      </c>
      <c r="J62" s="21">
        <v>3.6555971839999302</v>
      </c>
      <c r="K62" s="131" t="e">
        <f t="shared" si="36"/>
        <v>#REF!</v>
      </c>
      <c r="L62" s="69"/>
      <c r="M62" s="26"/>
      <c r="N62" s="53">
        <f t="shared" si="37"/>
        <v>430.34440281600007</v>
      </c>
      <c r="O62" s="9" t="e">
        <f>#REF!+#REF!+E62+#REF!+#REF!+M62</f>
        <v>#REF!</v>
      </c>
      <c r="P62" s="21" t="e">
        <f t="shared" si="38"/>
        <v>#REF!</v>
      </c>
      <c r="Q62" s="55" t="e">
        <f t="shared" si="39"/>
        <v>#REF!</v>
      </c>
      <c r="R62" s="242">
        <v>1043.48622</v>
      </c>
      <c r="S62" s="96" t="e">
        <f t="shared" si="30"/>
        <v>#REF!</v>
      </c>
    </row>
    <row r="63" spans="1:20" s="98" customFormat="1">
      <c r="A63" s="158" t="s">
        <v>87</v>
      </c>
      <c r="B63" s="172" t="s">
        <v>29</v>
      </c>
      <c r="C63" s="262" t="s">
        <v>140</v>
      </c>
      <c r="D63" s="283">
        <v>33.5</v>
      </c>
      <c r="E63" s="283"/>
      <c r="F63" s="252">
        <f t="shared" si="34"/>
        <v>-33.5</v>
      </c>
      <c r="G63" s="252">
        <f t="shared" si="40"/>
        <v>-100</v>
      </c>
      <c r="H63" s="283">
        <v>209.55873033245001</v>
      </c>
      <c r="I63" s="283" t="e">
        <f>#REF!+#REF!+E63+#REF!+#REF!</f>
        <v>#REF!</v>
      </c>
      <c r="J63" s="21">
        <v>39.041269667549983</v>
      </c>
      <c r="K63" s="131" t="e">
        <f t="shared" si="36"/>
        <v>#REF!</v>
      </c>
      <c r="L63" s="69"/>
      <c r="M63" s="26"/>
      <c r="N63" s="53">
        <f t="shared" si="37"/>
        <v>209.55873033245001</v>
      </c>
      <c r="O63" s="9" t="e">
        <f>#REF!+#REF!+E63+#REF!+#REF!+M63</f>
        <v>#REF!</v>
      </c>
      <c r="P63" s="21" t="e">
        <f t="shared" si="38"/>
        <v>#REF!</v>
      </c>
      <c r="Q63" s="55" t="e">
        <f t="shared" si="39"/>
        <v>#REF!</v>
      </c>
      <c r="R63" s="242"/>
      <c r="S63" s="96"/>
    </row>
    <row r="64" spans="1:20" s="77" customFormat="1">
      <c r="A64" s="158" t="s">
        <v>88</v>
      </c>
      <c r="B64" s="172" t="s">
        <v>30</v>
      </c>
      <c r="C64" s="261" t="s">
        <v>140</v>
      </c>
      <c r="D64" s="283"/>
      <c r="E64" s="283">
        <f>(3828.75/1000+4288.2/1000+765.75/1000)*E81</f>
        <v>1.40790795</v>
      </c>
      <c r="F64" s="252">
        <f t="shared" si="34"/>
        <v>1.40790795</v>
      </c>
      <c r="G64" s="252"/>
      <c r="H64" s="283">
        <v>0</v>
      </c>
      <c r="I64" s="283" t="e">
        <f>#REF!+#REF!+E64+#REF!+#REF!</f>
        <v>#REF!</v>
      </c>
      <c r="J64" s="9"/>
      <c r="K64" s="237"/>
      <c r="L64" s="53"/>
      <c r="M64" s="9"/>
      <c r="N64" s="53">
        <f t="shared" si="37"/>
        <v>0</v>
      </c>
      <c r="O64" s="9" t="e">
        <f>#REF!+#REF!+E64+#REF!+#REF!+M64</f>
        <v>#REF!</v>
      </c>
      <c r="P64" s="9"/>
      <c r="Q64" s="238"/>
      <c r="R64" s="242">
        <v>8.8826999999999998</v>
      </c>
      <c r="S64" s="96" t="e">
        <f t="shared" si="30"/>
        <v>#REF!</v>
      </c>
    </row>
    <row r="65" spans="1:19" s="98" customFormat="1">
      <c r="A65" s="158" t="s">
        <v>89</v>
      </c>
      <c r="B65" s="172" t="s">
        <v>31</v>
      </c>
      <c r="C65" s="262" t="s">
        <v>140</v>
      </c>
      <c r="D65" s="283"/>
      <c r="E65" s="283">
        <f>92334.96/1000*E81</f>
        <v>14.635091160000002</v>
      </c>
      <c r="F65" s="252">
        <f t="shared" si="34"/>
        <v>14.635091160000002</v>
      </c>
      <c r="G65" s="252"/>
      <c r="H65" s="283">
        <v>284.5339962999999</v>
      </c>
      <c r="I65" s="283" t="e">
        <f>#REF!+#REF!+E65+#REF!+#REF!</f>
        <v>#REF!</v>
      </c>
      <c r="J65" s="21">
        <v>700.01600370000006</v>
      </c>
      <c r="K65" s="131" t="e">
        <f t="shared" si="36"/>
        <v>#REF!</v>
      </c>
      <c r="L65" s="69"/>
      <c r="M65" s="26"/>
      <c r="N65" s="53">
        <f t="shared" si="37"/>
        <v>284.5339962999999</v>
      </c>
      <c r="O65" s="9" t="e">
        <f>#REF!+#REF!+E65+#REF!+#REF!+M65</f>
        <v>#REF!</v>
      </c>
      <c r="P65" s="21" t="e">
        <f t="shared" ref="P65:P80" si="41">O65-N65</f>
        <v>#REF!</v>
      </c>
      <c r="Q65" s="55">
        <v>100</v>
      </c>
      <c r="R65" s="242">
        <v>69.788070000000005</v>
      </c>
      <c r="S65" s="96" t="e">
        <f t="shared" si="30"/>
        <v>#REF!</v>
      </c>
    </row>
    <row r="66" spans="1:19" s="3" customFormat="1">
      <c r="A66" s="158" t="s">
        <v>90</v>
      </c>
      <c r="B66" s="172" t="s">
        <v>32</v>
      </c>
      <c r="C66" s="261" t="s">
        <v>140</v>
      </c>
      <c r="D66" s="283">
        <v>1290.1600000000001</v>
      </c>
      <c r="E66" s="283"/>
      <c r="F66" s="252">
        <f t="shared" si="34"/>
        <v>-1290.1600000000001</v>
      </c>
      <c r="G66" s="252">
        <f t="shared" ref="G66:G69" si="42">E66/D66*100-100</f>
        <v>-100</v>
      </c>
      <c r="H66" s="283">
        <v>6206.7573899999998</v>
      </c>
      <c r="I66" s="283" t="e">
        <f>#REF!+#REF!+E66+#REF!+#REF!</f>
        <v>#REF!</v>
      </c>
      <c r="J66" s="21">
        <v>-5063.2573899999998</v>
      </c>
      <c r="K66" s="131" t="e">
        <f t="shared" si="36"/>
        <v>#REF!</v>
      </c>
      <c r="L66" s="53"/>
      <c r="M66" s="9"/>
      <c r="N66" s="53">
        <f t="shared" si="37"/>
        <v>6206.7573899999998</v>
      </c>
      <c r="O66" s="9" t="e">
        <f>#REF!+#REF!+E66+#REF!+#REF!+M66</f>
        <v>#REF!</v>
      </c>
      <c r="P66" s="21" t="e">
        <f t="shared" si="41"/>
        <v>#REF!</v>
      </c>
      <c r="Q66" s="54" t="e">
        <f t="shared" ref="Q66:Q80" si="43">O66/N66*100-100</f>
        <v>#REF!</v>
      </c>
      <c r="R66" s="242"/>
      <c r="S66" s="96"/>
    </row>
    <row r="67" spans="1:19" s="3" customFormat="1">
      <c r="A67" s="158" t="s">
        <v>91</v>
      </c>
      <c r="B67" s="172" t="s">
        <v>33</v>
      </c>
      <c r="C67" s="261" t="s">
        <v>140</v>
      </c>
      <c r="D67" s="283">
        <v>183.745</v>
      </c>
      <c r="E67" s="283"/>
      <c r="F67" s="252">
        <f t="shared" si="34"/>
        <v>-183.745</v>
      </c>
      <c r="G67" s="252">
        <f t="shared" si="42"/>
        <v>-100</v>
      </c>
      <c r="H67" s="283">
        <v>976.37736529999995</v>
      </c>
      <c r="I67" s="283" t="e">
        <f>#REF!+#REF!+E67+#REF!+#REF!</f>
        <v>#REF!</v>
      </c>
      <c r="J67" s="21">
        <v>-976.37736529999995</v>
      </c>
      <c r="K67" s="131" t="e">
        <f t="shared" si="36"/>
        <v>#REF!</v>
      </c>
      <c r="L67" s="53"/>
      <c r="M67" s="9"/>
      <c r="N67" s="53">
        <f t="shared" si="37"/>
        <v>976.37736529999995</v>
      </c>
      <c r="O67" s="9" t="e">
        <f>#REF!+#REF!+E67+#REF!+#REF!+M67</f>
        <v>#REF!</v>
      </c>
      <c r="P67" s="88" t="e">
        <f t="shared" si="41"/>
        <v>#REF!</v>
      </c>
      <c r="Q67" s="89" t="e">
        <f t="shared" si="43"/>
        <v>#REF!</v>
      </c>
      <c r="R67" s="242"/>
      <c r="S67" s="96"/>
    </row>
    <row r="68" spans="1:19" s="3" customFormat="1">
      <c r="A68" s="158" t="s">
        <v>92</v>
      </c>
      <c r="B68" s="172" t="s">
        <v>34</v>
      </c>
      <c r="C68" s="261" t="s">
        <v>140</v>
      </c>
      <c r="D68" s="283">
        <v>539.255</v>
      </c>
      <c r="E68" s="283">
        <f>270000/1000*E81</f>
        <v>42.795000000000002</v>
      </c>
      <c r="F68" s="252">
        <f t="shared" si="34"/>
        <v>-496.46</v>
      </c>
      <c r="G68" s="252">
        <f t="shared" si="42"/>
        <v>-92.064051330075756</v>
      </c>
      <c r="H68" s="283">
        <v>3857.6578399999999</v>
      </c>
      <c r="I68" s="283" t="e">
        <f>#REF!+#REF!+E68+#REF!+#REF!</f>
        <v>#REF!</v>
      </c>
      <c r="J68" s="21">
        <v>-887.15783999999985</v>
      </c>
      <c r="K68" s="131" t="e">
        <f t="shared" si="36"/>
        <v>#REF!</v>
      </c>
      <c r="L68" s="53"/>
      <c r="M68" s="9"/>
      <c r="N68" s="53">
        <f t="shared" si="37"/>
        <v>3857.6578399999999</v>
      </c>
      <c r="O68" s="9" t="e">
        <f>#REF!+#REF!+E68+#REF!+#REF!+M68</f>
        <v>#REF!</v>
      </c>
      <c r="P68" s="88" t="e">
        <f t="shared" si="41"/>
        <v>#REF!</v>
      </c>
      <c r="Q68" s="89" t="e">
        <f t="shared" si="43"/>
        <v>#REF!</v>
      </c>
      <c r="R68" s="242">
        <v>270</v>
      </c>
      <c r="S68" s="96" t="e">
        <f t="shared" si="30"/>
        <v>#REF!</v>
      </c>
    </row>
    <row r="69" spans="1:19" s="3" customFormat="1">
      <c r="A69" s="158" t="s">
        <v>93</v>
      </c>
      <c r="B69" s="172" t="s">
        <v>35</v>
      </c>
      <c r="C69" s="261" t="s">
        <v>140</v>
      </c>
      <c r="D69" s="283">
        <v>10.92</v>
      </c>
      <c r="E69" s="283">
        <f>(54696.43/1000+673501.48/1000+38178.57/1000+180514.26/1000+490000/1000)*E81</f>
        <v>227.74718229000001</v>
      </c>
      <c r="F69" s="252">
        <f t="shared" si="34"/>
        <v>216.82718229000002</v>
      </c>
      <c r="G69" s="252">
        <f t="shared" si="42"/>
        <v>1985.5969074175823</v>
      </c>
      <c r="H69" s="283">
        <v>158.56025589424996</v>
      </c>
      <c r="I69" s="283" t="e">
        <f>#REF!+#REF!+E69+#REF!+#REF!</f>
        <v>#REF!</v>
      </c>
      <c r="J69" s="21">
        <v>359.24974410574998</v>
      </c>
      <c r="K69" s="131" t="e">
        <f t="shared" si="36"/>
        <v>#REF!</v>
      </c>
      <c r="L69" s="53"/>
      <c r="M69" s="9"/>
      <c r="N69" s="53">
        <f t="shared" si="37"/>
        <v>158.56025589424996</v>
      </c>
      <c r="O69" s="9" t="e">
        <f>#REF!+#REF!+E69+#REF!+#REF!+M69</f>
        <v>#REF!</v>
      </c>
      <c r="P69" s="88" t="e">
        <f t="shared" si="41"/>
        <v>#REF!</v>
      </c>
      <c r="Q69" s="89" t="e">
        <f t="shared" si="43"/>
        <v>#REF!</v>
      </c>
      <c r="R69" s="242">
        <v>730.04826000000003</v>
      </c>
      <c r="S69" s="96" t="e">
        <f t="shared" si="30"/>
        <v>#REF!</v>
      </c>
    </row>
    <row r="70" spans="1:19" s="3" customFormat="1">
      <c r="A70" s="158" t="s">
        <v>94</v>
      </c>
      <c r="B70" s="172" t="s">
        <v>36</v>
      </c>
      <c r="C70" s="261" t="s">
        <v>140</v>
      </c>
      <c r="D70" s="283"/>
      <c r="E70" s="283">
        <f>5166437/1000*E81</f>
        <v>818.88026449999995</v>
      </c>
      <c r="F70" s="252">
        <f t="shared" si="34"/>
        <v>818.88026449999995</v>
      </c>
      <c r="G70" s="252"/>
      <c r="H70" s="283">
        <v>6.03</v>
      </c>
      <c r="I70" s="283" t="e">
        <f>#REF!+#REF!+E70+#REF!+#REF!</f>
        <v>#REF!</v>
      </c>
      <c r="J70" s="21">
        <v>18362.080000000002</v>
      </c>
      <c r="K70" s="131" t="e">
        <f t="shared" si="36"/>
        <v>#REF!</v>
      </c>
      <c r="L70" s="53"/>
      <c r="M70" s="9"/>
      <c r="N70" s="53">
        <f t="shared" si="37"/>
        <v>6.03</v>
      </c>
      <c r="O70" s="9" t="e">
        <f>#REF!+#REF!+E70+#REF!+#REF!+M70</f>
        <v>#REF!</v>
      </c>
      <c r="P70" s="21" t="e">
        <f t="shared" si="41"/>
        <v>#REF!</v>
      </c>
      <c r="Q70" s="54" t="e">
        <f t="shared" si="43"/>
        <v>#REF!</v>
      </c>
      <c r="R70" s="242">
        <v>5166.4369999999999</v>
      </c>
      <c r="S70" s="96" t="e">
        <f t="shared" si="30"/>
        <v>#REF!</v>
      </c>
    </row>
    <row r="71" spans="1:19" s="3" customFormat="1">
      <c r="A71" s="158" t="s">
        <v>95</v>
      </c>
      <c r="B71" s="172" t="s">
        <v>37</v>
      </c>
      <c r="C71" s="261" t="s">
        <v>140</v>
      </c>
      <c r="D71" s="283">
        <v>542.41</v>
      </c>
      <c r="E71" s="283">
        <f>888792/1000*E81</f>
        <v>140.87353200000001</v>
      </c>
      <c r="F71" s="252">
        <f t="shared" si="34"/>
        <v>-401.53646799999996</v>
      </c>
      <c r="G71" s="252">
        <f t="shared" ref="G71:G75" si="44">E71/D71*100-100</f>
        <v>-74.028219981195036</v>
      </c>
      <c r="H71" s="283">
        <v>2071.5439200000001</v>
      </c>
      <c r="I71" s="283" t="e">
        <f>#REF!+#REF!+E71+#REF!+#REF!</f>
        <v>#REF!</v>
      </c>
      <c r="J71" s="21">
        <v>-1038.5439200000001</v>
      </c>
      <c r="K71" s="131" t="e">
        <f t="shared" si="36"/>
        <v>#REF!</v>
      </c>
      <c r="L71" s="53"/>
      <c r="M71" s="9"/>
      <c r="N71" s="53">
        <f t="shared" si="37"/>
        <v>2071.5439200000001</v>
      </c>
      <c r="O71" s="9" t="e">
        <f>#REF!+#REF!+E71+#REF!+#REF!+M71</f>
        <v>#REF!</v>
      </c>
      <c r="P71" s="21" t="e">
        <f t="shared" si="41"/>
        <v>#REF!</v>
      </c>
      <c r="Q71" s="54" t="e">
        <f t="shared" si="43"/>
        <v>#REF!</v>
      </c>
      <c r="R71" s="242">
        <v>998.79200000000003</v>
      </c>
      <c r="S71" s="96" t="e">
        <f t="shared" si="30"/>
        <v>#REF!</v>
      </c>
    </row>
    <row r="72" spans="1:19" s="3" customFormat="1">
      <c r="A72" s="158" t="s">
        <v>96</v>
      </c>
      <c r="B72" s="172" t="s">
        <v>38</v>
      </c>
      <c r="C72" s="261" t="s">
        <v>140</v>
      </c>
      <c r="D72" s="283">
        <v>43.02</v>
      </c>
      <c r="E72" s="283"/>
      <c r="F72" s="252">
        <f t="shared" si="34"/>
        <v>-43.02</v>
      </c>
      <c r="G72" s="252">
        <f t="shared" si="44"/>
        <v>-100</v>
      </c>
      <c r="H72" s="283">
        <v>123.42</v>
      </c>
      <c r="I72" s="283" t="e">
        <f>#REF!+#REF!+E72+#REF!+#REF!</f>
        <v>#REF!</v>
      </c>
      <c r="J72" s="21">
        <v>26.58</v>
      </c>
      <c r="K72" s="131" t="e">
        <f t="shared" si="36"/>
        <v>#REF!</v>
      </c>
      <c r="L72" s="53"/>
      <c r="M72" s="9"/>
      <c r="N72" s="53">
        <f t="shared" si="37"/>
        <v>123.42</v>
      </c>
      <c r="O72" s="9" t="e">
        <f>#REF!+#REF!+E72+#REF!+#REF!+M72</f>
        <v>#REF!</v>
      </c>
      <c r="P72" s="21" t="e">
        <f t="shared" si="41"/>
        <v>#REF!</v>
      </c>
      <c r="Q72" s="54" t="e">
        <f t="shared" si="43"/>
        <v>#REF!</v>
      </c>
      <c r="R72" s="242">
        <v>105</v>
      </c>
      <c r="S72" s="96" t="e">
        <f t="shared" si="30"/>
        <v>#REF!</v>
      </c>
    </row>
    <row r="73" spans="1:19" s="3" customFormat="1">
      <c r="A73" s="158" t="s">
        <v>97</v>
      </c>
      <c r="B73" s="172" t="s">
        <v>39</v>
      </c>
      <c r="C73" s="261" t="s">
        <v>140</v>
      </c>
      <c r="D73" s="283">
        <v>2.65</v>
      </c>
      <c r="E73" s="283"/>
      <c r="F73" s="252">
        <f t="shared" si="34"/>
        <v>-2.65</v>
      </c>
      <c r="G73" s="252">
        <f t="shared" si="44"/>
        <v>-100</v>
      </c>
      <c r="H73" s="283">
        <v>0</v>
      </c>
      <c r="I73" s="283" t="e">
        <f>#REF!+#REF!+E73+#REF!+#REF!</f>
        <v>#REF!</v>
      </c>
      <c r="J73" s="21">
        <v>7.98</v>
      </c>
      <c r="K73" s="131"/>
      <c r="L73" s="53"/>
      <c r="M73" s="9"/>
      <c r="N73" s="53">
        <f t="shared" si="37"/>
        <v>0</v>
      </c>
      <c r="O73" s="9" t="e">
        <f>#REF!+#REF!+E73+#REF!+#REF!+M73</f>
        <v>#REF!</v>
      </c>
      <c r="P73" s="21" t="e">
        <f t="shared" si="41"/>
        <v>#REF!</v>
      </c>
      <c r="Q73" s="54" t="e">
        <f t="shared" si="43"/>
        <v>#REF!</v>
      </c>
      <c r="R73" s="242"/>
      <c r="S73" s="96"/>
    </row>
    <row r="74" spans="1:19" s="3" customFormat="1">
      <c r="A74" s="158" t="s">
        <v>98</v>
      </c>
      <c r="B74" s="172" t="s">
        <v>40</v>
      </c>
      <c r="C74" s="261" t="s">
        <v>140</v>
      </c>
      <c r="D74" s="283">
        <v>168.64</v>
      </c>
      <c r="E74" s="283"/>
      <c r="F74" s="252">
        <f t="shared" si="34"/>
        <v>-168.64</v>
      </c>
      <c r="G74" s="252">
        <f t="shared" si="44"/>
        <v>-100</v>
      </c>
      <c r="H74" s="283">
        <v>907.64068592000001</v>
      </c>
      <c r="I74" s="283" t="e">
        <f>#REF!+#REF!+E74+#REF!+#REF!</f>
        <v>#REF!</v>
      </c>
      <c r="J74" s="21">
        <v>22.17931408000004</v>
      </c>
      <c r="K74" s="131" t="e">
        <f t="shared" si="36"/>
        <v>#REF!</v>
      </c>
      <c r="L74" s="53"/>
      <c r="M74" s="9"/>
      <c r="N74" s="53">
        <f t="shared" si="37"/>
        <v>907.64068592000001</v>
      </c>
      <c r="O74" s="9" t="e">
        <f>#REF!+#REF!+E74+#REF!+#REF!+M74</f>
        <v>#REF!</v>
      </c>
      <c r="P74" s="88" t="e">
        <f t="shared" si="41"/>
        <v>#REF!</v>
      </c>
      <c r="Q74" s="89" t="e">
        <f t="shared" si="43"/>
        <v>#REF!</v>
      </c>
      <c r="R74" s="242"/>
      <c r="S74" s="96"/>
    </row>
    <row r="75" spans="1:19" s="3" customFormat="1">
      <c r="A75" s="158" t="s">
        <v>99</v>
      </c>
      <c r="B75" s="172" t="s">
        <v>41</v>
      </c>
      <c r="C75" s="261" t="s">
        <v>140</v>
      </c>
      <c r="D75" s="283">
        <v>104.5</v>
      </c>
      <c r="E75" s="283">
        <f>915978.22/1000*E81</f>
        <v>145.18254787000001</v>
      </c>
      <c r="F75" s="252">
        <f t="shared" si="34"/>
        <v>40.682547870000008</v>
      </c>
      <c r="G75" s="252">
        <f t="shared" si="44"/>
        <v>38.930667818181831</v>
      </c>
      <c r="H75" s="283">
        <v>527.39284000000009</v>
      </c>
      <c r="I75" s="283" t="e">
        <f>#REF!+#REF!+E75+#REF!+#REF!</f>
        <v>#REF!</v>
      </c>
      <c r="J75" s="21">
        <v>-11.80284000000006</v>
      </c>
      <c r="K75" s="131" t="e">
        <f t="shared" si="36"/>
        <v>#REF!</v>
      </c>
      <c r="L75" s="53"/>
      <c r="M75" s="9"/>
      <c r="N75" s="53">
        <f t="shared" si="37"/>
        <v>527.39284000000009</v>
      </c>
      <c r="O75" s="9" t="e">
        <f>#REF!+#REF!+E75+#REF!+#REF!+M75</f>
        <v>#REF!</v>
      </c>
      <c r="P75" s="21" t="e">
        <f t="shared" si="41"/>
        <v>#REF!</v>
      </c>
      <c r="Q75" s="54" t="e">
        <f t="shared" si="43"/>
        <v>#REF!</v>
      </c>
      <c r="R75" s="242">
        <v>880.66571999999996</v>
      </c>
      <c r="S75" s="96" t="e">
        <f t="shared" si="30"/>
        <v>#REF!</v>
      </c>
    </row>
    <row r="76" spans="1:19" s="3" customFormat="1">
      <c r="A76" s="158" t="s">
        <v>100</v>
      </c>
      <c r="B76" s="172" t="s">
        <v>43</v>
      </c>
      <c r="C76" s="261" t="s">
        <v>140</v>
      </c>
      <c r="D76" s="283"/>
      <c r="E76" s="283"/>
      <c r="F76" s="252">
        <f t="shared" si="34"/>
        <v>0</v>
      </c>
      <c r="G76" s="252"/>
      <c r="H76" s="283">
        <v>846.40967161108404</v>
      </c>
      <c r="I76" s="283" t="e">
        <f>#REF!+#REF!+E76+#REF!+#REF!</f>
        <v>#REF!</v>
      </c>
      <c r="J76" s="21">
        <v>7046.650328388916</v>
      </c>
      <c r="K76" s="131" t="e">
        <f t="shared" si="36"/>
        <v>#REF!</v>
      </c>
      <c r="L76" s="53"/>
      <c r="M76" s="9"/>
      <c r="N76" s="53">
        <f t="shared" si="37"/>
        <v>846.40967161108404</v>
      </c>
      <c r="O76" s="9" t="e">
        <f>#REF!+#REF!+E76+#REF!+#REF!+M76</f>
        <v>#REF!</v>
      </c>
      <c r="P76" s="21" t="e">
        <f t="shared" si="41"/>
        <v>#REF!</v>
      </c>
      <c r="Q76" s="54" t="e">
        <f t="shared" si="43"/>
        <v>#REF!</v>
      </c>
      <c r="R76" s="242">
        <v>52.25</v>
      </c>
      <c r="S76" s="96" t="e">
        <f t="shared" si="30"/>
        <v>#REF!</v>
      </c>
    </row>
    <row r="77" spans="1:19" s="3" customFormat="1">
      <c r="A77" s="158" t="s">
        <v>101</v>
      </c>
      <c r="B77" s="172" t="s">
        <v>44</v>
      </c>
      <c r="C77" s="261" t="s">
        <v>140</v>
      </c>
      <c r="D77" s="283"/>
      <c r="E77" s="283"/>
      <c r="F77" s="252">
        <f t="shared" si="34"/>
        <v>0</v>
      </c>
      <c r="G77" s="252"/>
      <c r="H77" s="283">
        <v>5</v>
      </c>
      <c r="I77" s="283" t="e">
        <f>#REF!+#REF!+E77+#REF!+#REF!</f>
        <v>#REF!</v>
      </c>
      <c r="J77" s="21">
        <v>3761.49</v>
      </c>
      <c r="K77" s="131" t="e">
        <f t="shared" si="36"/>
        <v>#REF!</v>
      </c>
      <c r="L77" s="53"/>
      <c r="M77" s="9"/>
      <c r="N77" s="53">
        <f t="shared" si="37"/>
        <v>5</v>
      </c>
      <c r="O77" s="9" t="e">
        <f>#REF!+#REF!+E77+#REF!+#REF!+M77</f>
        <v>#REF!</v>
      </c>
      <c r="P77" s="21" t="e">
        <f t="shared" si="41"/>
        <v>#REF!</v>
      </c>
      <c r="Q77" s="54" t="e">
        <f t="shared" si="43"/>
        <v>#REF!</v>
      </c>
      <c r="R77" s="242">
        <v>133.92898000000002</v>
      </c>
      <c r="S77" s="96" t="e">
        <f t="shared" si="30"/>
        <v>#REF!</v>
      </c>
    </row>
    <row r="78" spans="1:19" s="3" customFormat="1" ht="31.5">
      <c r="A78" s="158" t="s">
        <v>102</v>
      </c>
      <c r="B78" s="172" t="s">
        <v>46</v>
      </c>
      <c r="C78" s="261" t="s">
        <v>140</v>
      </c>
      <c r="D78" s="283">
        <v>36.700000000000003</v>
      </c>
      <c r="E78" s="283">
        <f>726324/1000*E81</f>
        <v>115.122354</v>
      </c>
      <c r="F78" s="252">
        <f t="shared" si="34"/>
        <v>78.422353999999999</v>
      </c>
      <c r="G78" s="252">
        <f t="shared" ref="G78:G79" si="45">E78/D78*100-100</f>
        <v>213.68488828337871</v>
      </c>
      <c r="H78" s="283">
        <v>1853.8739650520001</v>
      </c>
      <c r="I78" s="283" t="e">
        <f>#REF!+#REF!+E78+#REF!+#REF!</f>
        <v>#REF!</v>
      </c>
      <c r="J78" s="21">
        <v>83.346034947999897</v>
      </c>
      <c r="K78" s="131" t="e">
        <f t="shared" si="36"/>
        <v>#REF!</v>
      </c>
      <c r="L78" s="53"/>
      <c r="M78" s="9"/>
      <c r="N78" s="53">
        <f t="shared" si="37"/>
        <v>1853.8739650520001</v>
      </c>
      <c r="O78" s="9" t="e">
        <f>#REF!+#REF!+E78+#REF!+#REF!+M78</f>
        <v>#REF!</v>
      </c>
      <c r="P78" s="21" t="e">
        <f t="shared" si="41"/>
        <v>#REF!</v>
      </c>
      <c r="Q78" s="54" t="e">
        <f t="shared" si="43"/>
        <v>#REF!</v>
      </c>
      <c r="R78" s="242">
        <v>726.32399999999996</v>
      </c>
      <c r="S78" s="96" t="e">
        <f t="shared" si="30"/>
        <v>#REF!</v>
      </c>
    </row>
    <row r="79" spans="1:19" s="3" customFormat="1">
      <c r="A79" s="158" t="s">
        <v>103</v>
      </c>
      <c r="B79" s="172" t="s">
        <v>42</v>
      </c>
      <c r="C79" s="261" t="s">
        <v>140</v>
      </c>
      <c r="D79" s="283">
        <v>14771.52</v>
      </c>
      <c r="E79" s="283">
        <f>2012009.84/1000+1255559.63/1000</f>
        <v>3267.5694700000004</v>
      </c>
      <c r="F79" s="252">
        <f t="shared" si="34"/>
        <v>-11503.95053</v>
      </c>
      <c r="G79" s="252">
        <f t="shared" si="45"/>
        <v>-77.8792604281753</v>
      </c>
      <c r="H79" s="283">
        <v>7450</v>
      </c>
      <c r="I79" s="283" t="e">
        <f>#REF!+#REF!+E79+#REF!+#REF!</f>
        <v>#REF!</v>
      </c>
      <c r="J79" s="21">
        <v>0</v>
      </c>
      <c r="K79" s="131" t="e">
        <f t="shared" si="36"/>
        <v>#REF!</v>
      </c>
      <c r="L79" s="53"/>
      <c r="M79" s="9"/>
      <c r="N79" s="53">
        <f t="shared" si="37"/>
        <v>7450</v>
      </c>
      <c r="O79" s="9" t="e">
        <f>#REF!+#REF!+E79+#REF!+#REF!+M79</f>
        <v>#REF!</v>
      </c>
      <c r="P79" s="21" t="e">
        <f t="shared" si="41"/>
        <v>#REF!</v>
      </c>
      <c r="Q79" s="54" t="e">
        <f t="shared" si="43"/>
        <v>#REF!</v>
      </c>
      <c r="R79" s="242"/>
      <c r="S79" s="96"/>
    </row>
    <row r="80" spans="1:19" s="3" customFormat="1">
      <c r="A80" s="158" t="s">
        <v>104</v>
      </c>
      <c r="B80" s="172" t="s">
        <v>45</v>
      </c>
      <c r="C80" s="261" t="s">
        <v>140</v>
      </c>
      <c r="D80" s="283"/>
      <c r="E80" s="283"/>
      <c r="F80" s="252"/>
      <c r="G80" s="252"/>
      <c r="H80" s="283">
        <v>80.483000000000004</v>
      </c>
      <c r="I80" s="283" t="e">
        <f>#REF!+#REF!+E80+#REF!+#REF!</f>
        <v>#REF!</v>
      </c>
      <c r="J80" s="21">
        <v>-3.0000000000001137E-3</v>
      </c>
      <c r="K80" s="131" t="e">
        <f t="shared" si="36"/>
        <v>#REF!</v>
      </c>
      <c r="L80" s="53"/>
      <c r="M80" s="9"/>
      <c r="N80" s="53">
        <f t="shared" si="37"/>
        <v>80.483000000000004</v>
      </c>
      <c r="O80" s="9" t="e">
        <f>#REF!+#REF!+E80+#REF!+#REF!+M80</f>
        <v>#REF!</v>
      </c>
      <c r="P80" s="21" t="e">
        <f t="shared" si="41"/>
        <v>#REF!</v>
      </c>
      <c r="Q80" s="54" t="e">
        <f t="shared" si="43"/>
        <v>#REF!</v>
      </c>
      <c r="R80" s="242"/>
      <c r="S80" s="96"/>
    </row>
    <row r="81" spans="1:19" s="39" customFormat="1">
      <c r="A81" s="161"/>
      <c r="B81" s="174" t="s">
        <v>126</v>
      </c>
      <c r="C81" s="263" t="s">
        <v>140</v>
      </c>
      <c r="D81" s="289"/>
      <c r="E81" s="289">
        <v>0.1585</v>
      </c>
      <c r="F81" s="290"/>
      <c r="G81" s="291"/>
      <c r="H81" s="292"/>
      <c r="I81" s="292"/>
      <c r="J81" s="76"/>
      <c r="K81" s="131"/>
      <c r="L81" s="68"/>
      <c r="M81" s="38"/>
      <c r="N81" s="69">
        <f>H81+L81</f>
        <v>0</v>
      </c>
      <c r="O81" s="26"/>
      <c r="P81" s="21"/>
      <c r="Q81" s="54"/>
      <c r="R81" s="242"/>
      <c r="S81" s="96"/>
    </row>
    <row r="82" spans="1:19">
      <c r="A82" s="157" t="s">
        <v>155</v>
      </c>
      <c r="B82" s="169" t="s">
        <v>47</v>
      </c>
      <c r="C82" s="257"/>
      <c r="D82" s="280"/>
      <c r="E82" s="280"/>
      <c r="F82" s="281"/>
      <c r="G82" s="282"/>
      <c r="H82" s="280"/>
      <c r="I82" s="280"/>
      <c r="J82" s="31"/>
      <c r="K82" s="31"/>
      <c r="L82" s="44"/>
      <c r="M82" s="11"/>
      <c r="N82" s="44"/>
      <c r="O82" s="11"/>
      <c r="P82" s="31">
        <f>O82-N82</f>
        <v>0</v>
      </c>
      <c r="Q82" s="61"/>
      <c r="R82" s="242"/>
      <c r="S82" s="96"/>
    </row>
    <row r="83" spans="1:19">
      <c r="A83" s="159" t="s">
        <v>48</v>
      </c>
      <c r="B83" s="173" t="s">
        <v>49</v>
      </c>
      <c r="C83" s="260" t="s">
        <v>140</v>
      </c>
      <c r="D83" s="277">
        <f>D20+D47</f>
        <v>1256038.19</v>
      </c>
      <c r="E83" s="277">
        <f>E20+E47</f>
        <v>580187.04277081997</v>
      </c>
      <c r="F83" s="278">
        <f t="shared" ref="F83:F84" si="46">E83-D83</f>
        <v>-675851.14722917997</v>
      </c>
      <c r="G83" s="279">
        <f t="shared" ref="G83:G84" si="47">E83/D83*100-100</f>
        <v>-53.808168621782116</v>
      </c>
      <c r="H83" s="277" t="e">
        <f>H20+H47</f>
        <v>#REF!</v>
      </c>
      <c r="I83" s="277" t="e">
        <f>I20+I47</f>
        <v>#REF!</v>
      </c>
      <c r="J83" s="30" t="e">
        <f>I83-H83</f>
        <v>#REF!</v>
      </c>
      <c r="K83" s="30" t="e">
        <f>I83/H83*100-100</f>
        <v>#REF!</v>
      </c>
      <c r="L83" s="43">
        <f>L87</f>
        <v>256332.14</v>
      </c>
      <c r="M83" s="10">
        <f>M20+M47</f>
        <v>704941.21</v>
      </c>
      <c r="N83" s="43" t="e">
        <f>N20+N47</f>
        <v>#REF!</v>
      </c>
      <c r="O83" s="10" t="e">
        <f>O20+O47</f>
        <v>#REF!</v>
      </c>
      <c r="P83" s="30" t="e">
        <f>O83-N83</f>
        <v>#REF!</v>
      </c>
      <c r="Q83" s="62" t="e">
        <f>O83/N83*100-100</f>
        <v>#REF!</v>
      </c>
      <c r="R83" s="242"/>
    </row>
    <row r="84" spans="1:19" s="36" customFormat="1">
      <c r="A84" s="158" t="s">
        <v>50</v>
      </c>
      <c r="B84" s="170" t="s">
        <v>156</v>
      </c>
      <c r="C84" s="255" t="s">
        <v>140</v>
      </c>
      <c r="D84" s="293">
        <v>10717.63</v>
      </c>
      <c r="E84" s="293"/>
      <c r="F84" s="294">
        <f t="shared" si="46"/>
        <v>-10717.63</v>
      </c>
      <c r="G84" s="294">
        <f t="shared" si="47"/>
        <v>-100</v>
      </c>
      <c r="H84" s="293" t="e">
        <f>#REF!+#REF!+D84+#REF!+#REF!</f>
        <v>#REF!</v>
      </c>
      <c r="I84" s="293" t="e">
        <f>#REF!+#REF!+E84+#REF!</f>
        <v>#REF!</v>
      </c>
      <c r="J84" s="85" t="e">
        <f>I84-H84</f>
        <v>#REF!</v>
      </c>
      <c r="K84" s="85" t="e">
        <f>I84/H84*100-100</f>
        <v>#REF!</v>
      </c>
      <c r="L84" s="56"/>
      <c r="M84" s="13"/>
      <c r="N84" s="53" t="e">
        <f>H84+L84</f>
        <v>#REF!</v>
      </c>
      <c r="O84" s="9" t="e">
        <f>I84+M84</f>
        <v>#REF!</v>
      </c>
      <c r="P84" s="21" t="e">
        <f>O84-N84</f>
        <v>#REF!</v>
      </c>
      <c r="Q84" s="54" t="e">
        <f>O84/N84*100-100</f>
        <v>#REF!</v>
      </c>
      <c r="R84" s="242"/>
    </row>
    <row r="85" spans="1:19" s="36" customFormat="1" ht="31.5">
      <c r="A85" s="302" t="s">
        <v>105</v>
      </c>
      <c r="B85" s="171" t="s">
        <v>106</v>
      </c>
      <c r="C85" s="259" t="s">
        <v>140</v>
      </c>
      <c r="D85" s="293"/>
      <c r="E85" s="283"/>
      <c r="F85" s="252"/>
      <c r="G85" s="252"/>
      <c r="H85" s="283" t="e">
        <f>#REF!+#REF!+D85+#REF!+#REF!</f>
        <v>#REF!</v>
      </c>
      <c r="I85" s="293"/>
      <c r="J85" s="85" t="e">
        <f>I85-H85</f>
        <v>#REF!</v>
      </c>
      <c r="K85" s="85" t="e">
        <f>I85/H85*100-100</f>
        <v>#REF!</v>
      </c>
      <c r="L85" s="53"/>
      <c r="M85" s="9"/>
      <c r="N85" s="53" t="e">
        <f>H85+L85</f>
        <v>#REF!</v>
      </c>
      <c r="O85" s="9">
        <f>I85+M85</f>
        <v>0</v>
      </c>
      <c r="P85" s="21" t="e">
        <f>O85-N85</f>
        <v>#REF!</v>
      </c>
      <c r="Q85" s="54" t="e">
        <f>O85/N85*100-100</f>
        <v>#REF!</v>
      </c>
      <c r="R85" s="242"/>
    </row>
    <row r="86" spans="1:19" s="138" customFormat="1">
      <c r="A86" s="162"/>
      <c r="B86" s="175"/>
      <c r="C86" s="264"/>
      <c r="D86" s="295"/>
      <c r="E86" s="296"/>
      <c r="F86" s="297"/>
      <c r="G86" s="297"/>
      <c r="H86" s="296"/>
      <c r="I86" s="298"/>
      <c r="J86" s="135"/>
      <c r="K86" s="135"/>
      <c r="L86" s="134"/>
      <c r="M86" s="133"/>
      <c r="N86" s="134"/>
      <c r="O86" s="139"/>
      <c r="P86" s="136"/>
      <c r="Q86" s="137"/>
      <c r="R86" s="242"/>
    </row>
    <row r="87" spans="1:19">
      <c r="A87" s="159" t="s">
        <v>51</v>
      </c>
      <c r="B87" s="173" t="s">
        <v>52</v>
      </c>
      <c r="C87" s="260" t="s">
        <v>140</v>
      </c>
      <c r="D87" s="277">
        <f>D83+D84</f>
        <v>1266755.8199999998</v>
      </c>
      <c r="E87" s="277">
        <f>E83+E84+E86</f>
        <v>580187.04277081997</v>
      </c>
      <c r="F87" s="278">
        <f t="shared" ref="F87:F92" si="48">E87-D87</f>
        <v>-686568.77722917986</v>
      </c>
      <c r="G87" s="279">
        <f t="shared" ref="G87:G92" si="49">E87/D87*100-100</f>
        <v>-54.198983449642249</v>
      </c>
      <c r="H87" s="277" t="e">
        <f>H83+H84</f>
        <v>#REF!</v>
      </c>
      <c r="I87" s="277" t="e">
        <f>I83+I84+I86</f>
        <v>#REF!</v>
      </c>
      <c r="J87" s="30" t="e">
        <f>I87-H87</f>
        <v>#REF!</v>
      </c>
      <c r="K87" s="30" t="e">
        <f>I87/H87*100-100</f>
        <v>#REF!</v>
      </c>
      <c r="L87" s="43">
        <v>256332.14</v>
      </c>
      <c r="M87" s="10">
        <f>M83+M84</f>
        <v>704941.21</v>
      </c>
      <c r="N87" s="43" t="e">
        <f>N83+N84</f>
        <v>#REF!</v>
      </c>
      <c r="O87" s="10" t="e">
        <f>O83+O84+O86</f>
        <v>#REF!</v>
      </c>
      <c r="P87" s="30" t="e">
        <f>O87-N87</f>
        <v>#REF!</v>
      </c>
      <c r="Q87" s="62" t="e">
        <f>O87/N87*100-100</f>
        <v>#REF!</v>
      </c>
      <c r="R87" s="242">
        <f>51139983.27/1000</f>
        <v>51139.983270000004</v>
      </c>
    </row>
    <row r="88" spans="1:19" ht="31.5">
      <c r="A88" s="302" t="s">
        <v>53</v>
      </c>
      <c r="B88" s="171" t="s">
        <v>54</v>
      </c>
      <c r="C88" s="150" t="s">
        <v>157</v>
      </c>
      <c r="D88" s="110">
        <v>6674.27</v>
      </c>
      <c r="E88" s="107">
        <f>3089427.06/1000</f>
        <v>3089.42706</v>
      </c>
      <c r="F88" s="21">
        <f t="shared" si="48"/>
        <v>-3584.8429400000005</v>
      </c>
      <c r="G88" s="55">
        <f t="shared" si="49"/>
        <v>-53.711386263965949</v>
      </c>
      <c r="H88" s="53"/>
      <c r="I88" s="9"/>
      <c r="J88" s="21"/>
      <c r="K88" s="21"/>
      <c r="L88" s="129">
        <v>2307.61</v>
      </c>
      <c r="M88" s="107">
        <v>2307.61</v>
      </c>
      <c r="N88" s="53"/>
      <c r="O88" s="9"/>
      <c r="P88" s="21"/>
      <c r="Q88" s="54"/>
      <c r="R88" s="242" t="e">
        <f>I87+R87</f>
        <v>#REF!</v>
      </c>
      <c r="S88" s="242"/>
    </row>
    <row r="89" spans="1:19">
      <c r="A89" s="371" t="s">
        <v>107</v>
      </c>
      <c r="B89" s="372" t="s">
        <v>108</v>
      </c>
      <c r="C89" s="150" t="s">
        <v>109</v>
      </c>
      <c r="D89" s="110">
        <v>12.93</v>
      </c>
      <c r="E89" s="107"/>
      <c r="F89" s="21">
        <f t="shared" si="48"/>
        <v>-12.93</v>
      </c>
      <c r="G89" s="55">
        <f t="shared" si="49"/>
        <v>-100</v>
      </c>
      <c r="H89" s="53"/>
      <c r="I89" s="9"/>
      <c r="J89" s="21"/>
      <c r="K89" s="21"/>
      <c r="L89" s="53"/>
      <c r="M89" s="9"/>
      <c r="N89" s="53">
        <f>H89+L89</f>
        <v>0</v>
      </c>
      <c r="O89" s="9"/>
      <c r="P89" s="21"/>
      <c r="Q89" s="54"/>
      <c r="R89" s="244">
        <f>164012721.37/1000</f>
        <v>164012.72137000001</v>
      </c>
      <c r="S89" s="83"/>
    </row>
    <row r="90" spans="1:19">
      <c r="A90" s="371"/>
      <c r="B90" s="372"/>
      <c r="C90" s="150" t="s">
        <v>157</v>
      </c>
      <c r="D90" s="110">
        <v>1026.1400000000001</v>
      </c>
      <c r="E90" s="107"/>
      <c r="F90" s="21"/>
      <c r="G90" s="55"/>
      <c r="H90" s="53"/>
      <c r="I90" s="9"/>
      <c r="J90" s="21"/>
      <c r="K90" s="21"/>
      <c r="L90" s="53"/>
      <c r="M90" s="9"/>
      <c r="N90" s="53">
        <f>H90+L90</f>
        <v>0</v>
      </c>
      <c r="O90" s="9"/>
      <c r="P90" s="21"/>
      <c r="Q90" s="54"/>
      <c r="R90" s="242" t="e">
        <f>R89-R88</f>
        <v>#REF!</v>
      </c>
      <c r="S90" s="83"/>
    </row>
    <row r="91" spans="1:19" hidden="1">
      <c r="A91" s="302"/>
      <c r="B91" s="303" t="s">
        <v>158</v>
      </c>
      <c r="C91" s="150"/>
      <c r="D91" s="110">
        <v>5533.09</v>
      </c>
      <c r="E91" s="107">
        <v>2120.5350515999371</v>
      </c>
      <c r="F91" s="21">
        <f t="shared" si="48"/>
        <v>-3412.554948400063</v>
      </c>
      <c r="G91" s="55">
        <f t="shared" si="49"/>
        <v>-61.675392021457505</v>
      </c>
      <c r="H91" s="53"/>
      <c r="I91" s="12"/>
      <c r="J91" s="41"/>
      <c r="K91" s="41"/>
      <c r="L91" s="67"/>
      <c r="M91" s="12"/>
      <c r="N91" s="53">
        <f>H91+L91</f>
        <v>0</v>
      </c>
      <c r="O91" s="9">
        <f>I91+M91</f>
        <v>0</v>
      </c>
      <c r="P91" s="21">
        <f>O91-N91</f>
        <v>0</v>
      </c>
      <c r="Q91" s="54" t="e">
        <f>O91/N91*100-100</f>
        <v>#DIV/0!</v>
      </c>
      <c r="R91" s="242"/>
    </row>
    <row r="92" spans="1:19">
      <c r="A92" s="163" t="s">
        <v>55</v>
      </c>
      <c r="B92" s="176" t="s">
        <v>56</v>
      </c>
      <c r="C92" s="151" t="s">
        <v>172</v>
      </c>
      <c r="D92" s="111">
        <f>(D87-D91)/D88</f>
        <v>188.9678916196078</v>
      </c>
      <c r="E92" s="112">
        <f>(E87-E91)/E88</f>
        <v>187.11123340753673</v>
      </c>
      <c r="F92" s="32">
        <f t="shared" si="48"/>
        <v>-1.8566582120710677</v>
      </c>
      <c r="G92" s="57">
        <f t="shared" si="49"/>
        <v>-0.98252575935414654</v>
      </c>
      <c r="H92" s="45"/>
      <c r="I92" s="14"/>
      <c r="J92" s="32"/>
      <c r="K92" s="32"/>
      <c r="L92" s="45">
        <f>L87/L88</f>
        <v>111.08122256360477</v>
      </c>
      <c r="M92" s="14">
        <f>M87/M88</f>
        <v>305.48541997997927</v>
      </c>
      <c r="N92" s="45"/>
      <c r="O92" s="14"/>
      <c r="P92" s="32"/>
      <c r="Q92" s="63"/>
      <c r="R92" s="242"/>
    </row>
    <row r="93" spans="1:19" hidden="1">
      <c r="A93" s="152" t="s">
        <v>57</v>
      </c>
      <c r="B93" s="152"/>
      <c r="C93" s="152"/>
      <c r="D93" s="110"/>
      <c r="E93" s="107"/>
      <c r="F93" s="108"/>
      <c r="G93" s="109"/>
      <c r="H93" s="53"/>
      <c r="I93" s="9"/>
      <c r="J93" s="21"/>
      <c r="K93" s="21"/>
      <c r="L93" s="53"/>
      <c r="M93" s="9"/>
      <c r="N93" s="53"/>
      <c r="O93" s="9"/>
      <c r="P93" s="21"/>
      <c r="Q93" s="54"/>
      <c r="R93" s="242"/>
    </row>
    <row r="94" spans="1:19" ht="31.5" hidden="1">
      <c r="A94" s="157">
        <v>8</v>
      </c>
      <c r="B94" s="169" t="s">
        <v>58</v>
      </c>
      <c r="C94" s="149" t="s">
        <v>59</v>
      </c>
      <c r="D94" s="113">
        <v>149.15</v>
      </c>
      <c r="E94" s="114">
        <f>E96+E97</f>
        <v>0</v>
      </c>
      <c r="F94" s="115">
        <f>E94-D94</f>
        <v>-149.15</v>
      </c>
      <c r="G94" s="116">
        <f>E94/D94*100-100</f>
        <v>-100</v>
      </c>
      <c r="H94" s="46" t="e">
        <f>H96+H97</f>
        <v>#REF!</v>
      </c>
      <c r="I94" s="15" t="e">
        <f>I96+I97</f>
        <v>#REF!</v>
      </c>
      <c r="J94" s="33" t="e">
        <f t="shared" ref="J94:J100" si="50">I94-H94</f>
        <v>#REF!</v>
      </c>
      <c r="K94" s="33" t="e">
        <f>I94/H94*100-100</f>
        <v>#REF!</v>
      </c>
      <c r="L94" s="46"/>
      <c r="M94" s="15"/>
      <c r="N94" s="218" t="e">
        <f>N96+N97</f>
        <v>#REF!</v>
      </c>
      <c r="O94" s="219" t="e">
        <f>O96+O97</f>
        <v>#REF!</v>
      </c>
      <c r="P94" s="70" t="e">
        <f>O94-N94</f>
        <v>#REF!</v>
      </c>
      <c r="Q94" s="220" t="e">
        <f>O94/N94*100-100</f>
        <v>#REF!</v>
      </c>
      <c r="R94" s="242"/>
    </row>
    <row r="95" spans="1:19" hidden="1">
      <c r="A95" s="164"/>
      <c r="B95" s="171" t="s">
        <v>60</v>
      </c>
      <c r="C95" s="150"/>
      <c r="D95" s="117"/>
      <c r="E95" s="118"/>
      <c r="F95" s="119"/>
      <c r="G95" s="120"/>
      <c r="H95" s="47"/>
      <c r="I95" s="16"/>
      <c r="J95" s="34">
        <f t="shared" si="50"/>
        <v>0</v>
      </c>
      <c r="K95" s="34"/>
      <c r="L95" s="47"/>
      <c r="M95" s="16"/>
      <c r="N95" s="221"/>
      <c r="O95" s="222"/>
      <c r="P95" s="223"/>
      <c r="Q95" s="224"/>
      <c r="R95" s="242"/>
    </row>
    <row r="96" spans="1:19" hidden="1">
      <c r="A96" s="164" t="s">
        <v>110</v>
      </c>
      <c r="B96" s="171" t="s">
        <v>61</v>
      </c>
      <c r="C96" s="150" t="s">
        <v>159</v>
      </c>
      <c r="D96" s="121">
        <v>136.1</v>
      </c>
      <c r="E96" s="122"/>
      <c r="F96" s="123">
        <v>0</v>
      </c>
      <c r="G96" s="124">
        <v>0</v>
      </c>
      <c r="H96" s="53" t="e">
        <f>#REF!+#REF!+D96+#REF!+#REF!</f>
        <v>#REF!</v>
      </c>
      <c r="I96" s="9" t="e">
        <f>#REF!+#REF!+E96+#REF!+#REF!</f>
        <v>#REF!</v>
      </c>
      <c r="J96" s="21" t="e">
        <f t="shared" si="50"/>
        <v>#REF!</v>
      </c>
      <c r="K96" s="21" t="e">
        <f>I96/H96*100-100</f>
        <v>#REF!</v>
      </c>
      <c r="L96" s="48"/>
      <c r="M96" s="17"/>
      <c r="N96" s="225" t="e">
        <f>H96+L96</f>
        <v>#REF!</v>
      </c>
      <c r="O96" s="226" t="e">
        <f>I96+M96</f>
        <v>#REF!</v>
      </c>
      <c r="P96" s="227" t="e">
        <f>O96-N96</f>
        <v>#REF!</v>
      </c>
      <c r="Q96" s="228" t="e">
        <f>O96/N96*100-100</f>
        <v>#REF!</v>
      </c>
      <c r="R96" s="242"/>
    </row>
    <row r="97" spans="1:18" hidden="1">
      <c r="A97" s="164" t="s">
        <v>111</v>
      </c>
      <c r="B97" s="171" t="s">
        <v>62</v>
      </c>
      <c r="C97" s="150" t="s">
        <v>159</v>
      </c>
      <c r="D97" s="121">
        <v>13.05</v>
      </c>
      <c r="E97" s="122"/>
      <c r="F97" s="123">
        <v>0</v>
      </c>
      <c r="G97" s="124">
        <v>0</v>
      </c>
      <c r="H97" s="53" t="e">
        <f>#REF!+#REF!+D97+#REF!+#REF!</f>
        <v>#REF!</v>
      </c>
      <c r="I97" s="9" t="e">
        <f>#REF!+#REF!+E97+#REF!+#REF!</f>
        <v>#REF!</v>
      </c>
      <c r="J97" s="21" t="e">
        <f t="shared" si="50"/>
        <v>#REF!</v>
      </c>
      <c r="K97" s="21" t="e">
        <f>I97/H97*100-100</f>
        <v>#REF!</v>
      </c>
      <c r="L97" s="48"/>
      <c r="M97" s="17"/>
      <c r="N97" s="225" t="e">
        <f>H97+L97</f>
        <v>#REF!</v>
      </c>
      <c r="O97" s="226" t="e">
        <f>I97+M97</f>
        <v>#REF!</v>
      </c>
      <c r="P97" s="227" t="e">
        <f>O97-N97</f>
        <v>#REF!</v>
      </c>
      <c r="Q97" s="228" t="e">
        <f>O97/N97*100-100</f>
        <v>#REF!</v>
      </c>
      <c r="R97" s="242"/>
    </row>
    <row r="98" spans="1:18" ht="31.5" hidden="1">
      <c r="A98" s="157">
        <v>9</v>
      </c>
      <c r="B98" s="169" t="s">
        <v>160</v>
      </c>
      <c r="C98" s="149" t="s">
        <v>63</v>
      </c>
      <c r="D98" s="113">
        <v>170059.31498826685</v>
      </c>
      <c r="E98" s="114" t="e">
        <f>(E28+E49)/E94/12*1000</f>
        <v>#DIV/0!</v>
      </c>
      <c r="F98" s="115" t="e">
        <f>E98-D98</f>
        <v>#DIV/0!</v>
      </c>
      <c r="G98" s="116" t="e">
        <f>E98/D98*100-100</f>
        <v>#DIV/0!</v>
      </c>
      <c r="H98" s="46" t="e">
        <f>(H28+H49)/H94/12*1000</f>
        <v>#REF!</v>
      </c>
      <c r="I98" s="15" t="e">
        <f>(I28+I49)/I94/12*1000</f>
        <v>#REF!</v>
      </c>
      <c r="J98" s="33" t="e">
        <f t="shared" si="50"/>
        <v>#REF!</v>
      </c>
      <c r="K98" s="33" t="e">
        <f>I98/H98*100-100</f>
        <v>#REF!</v>
      </c>
      <c r="L98" s="46"/>
      <c r="M98" s="15"/>
      <c r="N98" s="218" t="e">
        <f>(N28+N49)/N94/12*1000</f>
        <v>#REF!</v>
      </c>
      <c r="O98" s="219" t="e">
        <f>(O28+O49)/O94/12*1000</f>
        <v>#REF!</v>
      </c>
      <c r="P98" s="70" t="e">
        <f>O98-N98</f>
        <v>#REF!</v>
      </c>
      <c r="Q98" s="220" t="e">
        <f>O98/N98*100-100</f>
        <v>#REF!</v>
      </c>
      <c r="R98" s="242"/>
    </row>
    <row r="99" spans="1:18" hidden="1">
      <c r="A99" s="164" t="s">
        <v>112</v>
      </c>
      <c r="B99" s="171" t="s">
        <v>161</v>
      </c>
      <c r="C99" s="150" t="s">
        <v>159</v>
      </c>
      <c r="D99" s="146">
        <f>D28/12/D96*1000</f>
        <v>105914.9706098457</v>
      </c>
      <c r="E99" s="122" t="e">
        <f>E28/12/E96*1000</f>
        <v>#DIV/0!</v>
      </c>
      <c r="F99" s="123" t="e">
        <f>E99-D99</f>
        <v>#DIV/0!</v>
      </c>
      <c r="G99" s="124" t="e">
        <f>E99/D99*100-100</f>
        <v>#DIV/0!</v>
      </c>
      <c r="H99" s="48" t="e">
        <f>H28/12/H96*1000</f>
        <v>#REF!</v>
      </c>
      <c r="I99" s="17" t="e">
        <f>I28/12/I96*1000</f>
        <v>#REF!</v>
      </c>
      <c r="J99" s="35" t="e">
        <f t="shared" si="50"/>
        <v>#REF!</v>
      </c>
      <c r="K99" s="35" t="e">
        <f>I99/H99*100-100</f>
        <v>#REF!</v>
      </c>
      <c r="L99" s="48"/>
      <c r="M99" s="17"/>
      <c r="N99" s="229" t="e">
        <f>N28/12/N96*1000</f>
        <v>#REF!</v>
      </c>
      <c r="O99" s="230" t="e">
        <f>O28/12/O96*1000</f>
        <v>#REF!</v>
      </c>
      <c r="P99" s="227" t="e">
        <f>O99-N99</f>
        <v>#REF!</v>
      </c>
      <c r="Q99" s="228" t="e">
        <f>O99/N99*100-100</f>
        <v>#REF!</v>
      </c>
      <c r="R99" s="242"/>
    </row>
    <row r="100" spans="1:18" ht="16.5" hidden="1" thickBot="1">
      <c r="A100" s="165" t="s">
        <v>113</v>
      </c>
      <c r="B100" s="177" t="s">
        <v>162</v>
      </c>
      <c r="C100" s="153" t="s">
        <v>159</v>
      </c>
      <c r="D100" s="146">
        <v>115268.01</v>
      </c>
      <c r="E100" s="104" t="e">
        <f>E49/12/E97*1000</f>
        <v>#DIV/0!</v>
      </c>
      <c r="F100" s="105" t="e">
        <f>E100-D100</f>
        <v>#DIV/0!</v>
      </c>
      <c r="G100" s="106" t="e">
        <f>E100/D100*100-100</f>
        <v>#DIV/0!</v>
      </c>
      <c r="H100" s="49" t="e">
        <f>H49/12/H97*1000</f>
        <v>#REF!</v>
      </c>
      <c r="I100" s="50" t="e">
        <f>I49/12/I97*1000</f>
        <v>#REF!</v>
      </c>
      <c r="J100" s="51" t="e">
        <f t="shared" si="50"/>
        <v>#REF!</v>
      </c>
      <c r="K100" s="51" t="e">
        <f>I100/H100*100-100</f>
        <v>#REF!</v>
      </c>
      <c r="L100" s="49"/>
      <c r="M100" s="50"/>
      <c r="N100" s="231" t="e">
        <f>N29/12/N97*1000</f>
        <v>#REF!</v>
      </c>
      <c r="O100" s="232" t="e">
        <f>O29/12/O97*1000</f>
        <v>#REF!</v>
      </c>
      <c r="P100" s="233" t="e">
        <f>O100-N100</f>
        <v>#REF!</v>
      </c>
      <c r="Q100" s="234" t="e">
        <f>O100/N100*100-100</f>
        <v>#REF!</v>
      </c>
      <c r="R100" s="242"/>
    </row>
    <row r="102" spans="1:18" ht="18.75" hidden="1">
      <c r="B102" s="1" t="s">
        <v>184</v>
      </c>
    </row>
    <row r="103" spans="1:18" ht="18.75" hidden="1">
      <c r="B103" s="1" t="s">
        <v>185</v>
      </c>
    </row>
    <row r="104" spans="1:18" ht="18.75" hidden="1">
      <c r="B104" s="1" t="s">
        <v>186</v>
      </c>
    </row>
    <row r="105" spans="1:18" ht="18.75" hidden="1">
      <c r="B105" s="1" t="s">
        <v>187</v>
      </c>
    </row>
    <row r="106" spans="1:18" ht="18.75" hidden="1">
      <c r="B106" s="1" t="s">
        <v>191</v>
      </c>
    </row>
    <row r="107" spans="1:18" ht="18.75" hidden="1">
      <c r="B107" s="300"/>
    </row>
    <row r="108" spans="1:18" ht="18.75" hidden="1">
      <c r="B108" s="300" t="s">
        <v>188</v>
      </c>
    </row>
    <row r="109" spans="1:18" ht="18.75" hidden="1">
      <c r="B109" s="300" t="s">
        <v>189</v>
      </c>
    </row>
    <row r="110" spans="1:18" ht="18.75" hidden="1">
      <c r="B110" s="300"/>
    </row>
    <row r="111" spans="1:18" ht="18.75" hidden="1">
      <c r="B111" s="1" t="s">
        <v>190</v>
      </c>
    </row>
    <row r="112" spans="1:18" hidden="1"/>
    <row r="113" spans="2:15" hidden="1"/>
    <row r="116" spans="2:15" hidden="1"/>
    <row r="117" spans="2:15" ht="18.75" hidden="1">
      <c r="B117" s="240" t="s">
        <v>176</v>
      </c>
      <c r="J117" s="90"/>
    </row>
    <row r="118" spans="2:15" hidden="1">
      <c r="B118" s="2" t="s">
        <v>178</v>
      </c>
    </row>
    <row r="119" spans="2:15" hidden="1"/>
    <row r="120" spans="2:15" hidden="1">
      <c r="O120" s="83"/>
    </row>
    <row r="121" spans="2:15" hidden="1"/>
    <row r="122" spans="2:15" hidden="1"/>
  </sheetData>
  <mergeCells count="14">
    <mergeCell ref="J12:K12"/>
    <mergeCell ref="L12:M12"/>
    <mergeCell ref="N12:O12"/>
    <mergeCell ref="P12:Q12"/>
    <mergeCell ref="A89:A90"/>
    <mergeCell ref="B89:B90"/>
    <mergeCell ref="F12:G12"/>
    <mergeCell ref="H12:I12"/>
    <mergeCell ref="B1:G1"/>
    <mergeCell ref="A12:A13"/>
    <mergeCell ref="B12:B13"/>
    <mergeCell ref="C12:C13"/>
    <mergeCell ref="D12:E12"/>
    <mergeCell ref="A8:G8"/>
  </mergeCells>
  <pageMargins left="0.31496062992125984" right="0.31496062992125984" top="0.35433070866141736" bottom="0.74803149606299213" header="0.31496062992125984" footer="0.31496062992125984"/>
  <pageSetup paperSize="9" scale="65" fitToWidth="5" fitToHeight="2" orientation="portrait" r:id="rId1"/>
  <rowBreaks count="1" manualBreakCount="1">
    <brk id="61" max="2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122"/>
  <sheetViews>
    <sheetView view="pageBreakPreview" zoomScale="80" zoomScaleNormal="55" zoomScaleSheetLayoutView="80" workbookViewId="0">
      <pane xSplit="2" ySplit="18" topLeftCell="C88" activePane="bottomRight" state="frozen"/>
      <selection activeCell="C49" sqref="C49"/>
      <selection pane="topRight" activeCell="C49" sqref="C49"/>
      <selection pane="bottomLeft" activeCell="C49" sqref="C49"/>
      <selection pane="bottomRight" activeCell="B129" sqref="B129"/>
    </sheetView>
  </sheetViews>
  <sheetFormatPr defaultRowHeight="15.75"/>
  <cols>
    <col min="1" max="1" width="7.42578125" style="18" customWidth="1"/>
    <col min="2" max="2" width="43.28515625" style="2" customWidth="1"/>
    <col min="3" max="3" width="14.7109375" style="19" customWidth="1"/>
    <col min="4" max="4" width="21.28515625" style="19" hidden="1" customWidth="1"/>
    <col min="5" max="5" width="20.5703125" style="2" hidden="1" customWidth="1"/>
    <col min="6" max="6" width="18.85546875" style="28" hidden="1" customWidth="1"/>
    <col min="7" max="7" width="13.85546875" style="23" hidden="1" customWidth="1"/>
    <col min="8" max="8" width="21.28515625" style="2" hidden="1" customWidth="1"/>
    <col min="9" max="9" width="19.140625" style="36" hidden="1" customWidth="1"/>
    <col min="10" max="10" width="16.7109375" style="24" hidden="1" customWidth="1"/>
    <col min="11" max="11" width="15.7109375" style="24" hidden="1" customWidth="1"/>
    <col min="12" max="12" width="19.85546875" hidden="1" customWidth="1"/>
    <col min="13" max="13" width="21.7109375" hidden="1" customWidth="1"/>
    <col min="14" max="14" width="16.7109375" style="24" hidden="1" customWidth="1"/>
    <col min="15" max="15" width="15.7109375" style="24" hidden="1" customWidth="1"/>
    <col min="16" max="16" width="18.85546875" customWidth="1"/>
    <col min="17" max="17" width="24" style="36" customWidth="1"/>
    <col min="18" max="18" width="16.7109375" style="24" customWidth="1"/>
    <col min="19" max="19" width="15.7109375" style="24" customWidth="1"/>
    <col min="20" max="20" width="18.42578125" hidden="1" customWidth="1"/>
    <col min="21" max="21" width="23" style="36" hidden="1" customWidth="1"/>
    <col min="22" max="22" width="16.7109375" style="24" hidden="1" customWidth="1"/>
    <col min="23" max="23" width="15.42578125" style="24" hidden="1" customWidth="1"/>
    <col min="24" max="24" width="18.140625" style="36" hidden="1" customWidth="1"/>
    <col min="25" max="25" width="21.42578125" style="36" hidden="1" customWidth="1"/>
    <col min="26" max="26" width="18.85546875" style="24" hidden="1" customWidth="1"/>
    <col min="27" max="27" width="16.7109375" style="24" hidden="1" customWidth="1"/>
    <col min="28" max="28" width="19.140625" hidden="1" customWidth="1"/>
    <col min="29" max="29" width="16.7109375" hidden="1" customWidth="1"/>
    <col min="30" max="30" width="18.28515625" hidden="1" customWidth="1"/>
    <col min="31" max="31" width="21.42578125" hidden="1" customWidth="1"/>
    <col min="32" max="32" width="18.85546875" style="24" hidden="1" customWidth="1"/>
    <col min="33" max="33" width="16.7109375" style="27" hidden="1" customWidth="1"/>
    <col min="34" max="34" width="18.28515625" hidden="1" customWidth="1"/>
    <col min="35" max="35" width="16" hidden="1" customWidth="1"/>
    <col min="36" max="36" width="13.140625" hidden="1" customWidth="1"/>
    <col min="37" max="37" width="9.140625" customWidth="1"/>
    <col min="38" max="38" width="12.140625" bestFit="1" customWidth="1"/>
  </cols>
  <sheetData>
    <row r="1" spans="1:35" ht="62.25" customHeight="1">
      <c r="B1" s="382" t="s">
        <v>192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</row>
    <row r="2" spans="1:35" ht="14.25" customHeight="1"/>
    <row r="3" spans="1:35" s="71" customFormat="1" ht="20.25" customHeight="1">
      <c r="A3" s="100"/>
      <c r="B3" s="100"/>
      <c r="C3" s="100"/>
      <c r="D3" s="100"/>
      <c r="E3" s="239"/>
      <c r="F3" s="130"/>
      <c r="G3" s="130"/>
      <c r="H3" s="100"/>
      <c r="I3" s="100"/>
      <c r="J3" s="130"/>
      <c r="K3" s="130"/>
      <c r="L3" s="100"/>
      <c r="M3" s="130"/>
      <c r="N3" s="130"/>
      <c r="O3" s="130"/>
      <c r="P3" s="100"/>
      <c r="Q3" s="130"/>
      <c r="R3" s="130"/>
      <c r="S3" s="130"/>
      <c r="T3" s="100"/>
      <c r="U3" s="130"/>
      <c r="V3" s="130"/>
      <c r="W3" s="130"/>
      <c r="X3" s="1"/>
      <c r="Y3" s="1"/>
      <c r="Z3" s="78"/>
      <c r="AA3" s="78"/>
      <c r="AF3" s="78"/>
      <c r="AG3" s="80"/>
    </row>
    <row r="4" spans="1:35" s="71" customFormat="1" ht="18.75">
      <c r="A4" s="81" t="s">
        <v>181</v>
      </c>
      <c r="B4" s="1"/>
      <c r="C4" s="72"/>
      <c r="D4" s="72"/>
      <c r="E4" s="1"/>
      <c r="F4" s="78"/>
      <c r="G4" s="80"/>
      <c r="H4" s="1"/>
      <c r="I4" s="1"/>
      <c r="J4" s="78"/>
      <c r="K4" s="78"/>
      <c r="M4" s="130"/>
      <c r="N4" s="78"/>
      <c r="O4" s="78"/>
      <c r="Q4" s="78"/>
      <c r="R4" s="78"/>
      <c r="S4" s="78"/>
      <c r="U4" s="78"/>
      <c r="V4" s="78"/>
      <c r="W4" s="78"/>
      <c r="X4" s="1"/>
      <c r="Y4" s="1"/>
      <c r="Z4" s="78"/>
      <c r="AA4" s="78"/>
      <c r="AF4" s="78"/>
      <c r="AG4" s="80"/>
    </row>
    <row r="5" spans="1:35" s="71" customFormat="1" ht="18.75">
      <c r="A5" s="81" t="s">
        <v>164</v>
      </c>
      <c r="B5" s="1"/>
      <c r="C5" s="72"/>
      <c r="D5" s="72"/>
      <c r="E5" s="1"/>
      <c r="F5" s="78"/>
      <c r="G5" s="80"/>
      <c r="H5" s="1"/>
      <c r="I5" s="1"/>
      <c r="J5" s="78"/>
      <c r="K5" s="78"/>
      <c r="M5" s="130"/>
      <c r="N5" s="78"/>
      <c r="O5" s="78"/>
      <c r="Q5" s="78"/>
      <c r="R5" s="78"/>
      <c r="S5" s="78"/>
      <c r="U5" s="78"/>
      <c r="V5" s="78"/>
      <c r="W5" s="78"/>
      <c r="X5" s="1"/>
      <c r="Y5" s="1"/>
      <c r="Z5" s="78"/>
      <c r="AA5" s="78"/>
      <c r="AF5" s="78"/>
      <c r="AG5" s="80"/>
    </row>
    <row r="6" spans="1:35" s="71" customFormat="1" ht="18.75">
      <c r="A6" s="81" t="s">
        <v>182</v>
      </c>
      <c r="B6" s="1"/>
      <c r="C6" s="72"/>
      <c r="D6" s="72"/>
      <c r="E6" s="1"/>
      <c r="F6" s="78"/>
      <c r="G6" s="80"/>
      <c r="H6" s="1"/>
      <c r="I6" s="1"/>
      <c r="J6" s="78"/>
      <c r="K6" s="78"/>
      <c r="M6" s="130"/>
      <c r="N6" s="78"/>
      <c r="O6" s="78"/>
      <c r="Q6" s="78"/>
      <c r="R6" s="78"/>
      <c r="S6" s="78"/>
      <c r="U6" s="78"/>
      <c r="V6" s="78"/>
      <c r="W6" s="78"/>
      <c r="X6" s="1"/>
      <c r="Y6" s="1"/>
      <c r="Z6" s="78"/>
      <c r="AA6" s="78"/>
      <c r="AF6" s="78"/>
      <c r="AG6" s="80"/>
    </row>
    <row r="7" spans="1:35" s="71" customFormat="1" ht="18.75">
      <c r="A7" s="81" t="s">
        <v>165</v>
      </c>
      <c r="B7" s="1"/>
      <c r="C7" s="72"/>
      <c r="D7" s="72"/>
      <c r="E7" s="1"/>
      <c r="F7" s="78"/>
      <c r="G7" s="80"/>
      <c r="H7" s="1"/>
      <c r="I7" s="1"/>
      <c r="J7" s="78"/>
      <c r="K7" s="78"/>
      <c r="M7" s="130"/>
      <c r="N7" s="78"/>
      <c r="O7" s="78"/>
      <c r="Q7" s="78"/>
      <c r="R7" s="78"/>
      <c r="S7" s="78"/>
      <c r="U7" s="78"/>
      <c r="V7" s="78"/>
      <c r="W7" s="78"/>
      <c r="X7" s="1"/>
      <c r="Y7" s="1"/>
      <c r="Z7" s="78"/>
      <c r="AA7" s="78"/>
      <c r="AF7" s="78"/>
      <c r="AG7" s="80"/>
    </row>
    <row r="8" spans="1:35" s="71" customFormat="1" ht="39.75" customHeight="1">
      <c r="A8" s="373" t="s">
        <v>166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U8" s="78"/>
      <c r="V8" s="78"/>
      <c r="W8" s="78"/>
      <c r="X8" s="1"/>
      <c r="Y8" s="1"/>
      <c r="Z8" s="78"/>
      <c r="AA8" s="78"/>
      <c r="AF8" s="78"/>
      <c r="AG8" s="80"/>
    </row>
    <row r="9" spans="1:35" s="71" customFormat="1" ht="18.75">
      <c r="A9" s="81" t="s">
        <v>183</v>
      </c>
      <c r="B9" s="1"/>
      <c r="C9" s="1"/>
      <c r="D9" s="1"/>
      <c r="E9" s="1"/>
      <c r="F9" s="78"/>
      <c r="G9" s="80"/>
      <c r="H9" s="1"/>
      <c r="I9" s="1"/>
      <c r="J9" s="78"/>
      <c r="K9" s="78"/>
      <c r="M9" s="130"/>
      <c r="N9" s="78"/>
      <c r="O9" s="78"/>
      <c r="Q9" s="78"/>
      <c r="R9" s="78"/>
      <c r="S9" s="78"/>
      <c r="U9" s="78"/>
      <c r="V9" s="78"/>
      <c r="W9" s="78"/>
      <c r="X9" s="5"/>
      <c r="Y9" s="5"/>
      <c r="Z9" s="82"/>
      <c r="AA9" s="82"/>
      <c r="AF9" s="78"/>
      <c r="AG9" s="80"/>
    </row>
    <row r="10" spans="1:35" ht="23.25">
      <c r="A10" s="7"/>
      <c r="B10" s="6"/>
      <c r="C10" s="8"/>
      <c r="D10" s="8"/>
      <c r="E10" s="6"/>
      <c r="F10" s="29"/>
      <c r="G10" s="22"/>
      <c r="H10" s="6"/>
      <c r="I10" s="37"/>
      <c r="J10" s="25"/>
      <c r="K10" s="25"/>
      <c r="M10" s="130"/>
      <c r="Q10" s="24"/>
      <c r="U10" s="25"/>
      <c r="V10" s="25"/>
      <c r="W10" s="25"/>
      <c r="Y10" s="37"/>
      <c r="Z10" s="25"/>
      <c r="AA10" s="25"/>
    </row>
    <row r="11" spans="1:35" ht="19.5" thickBot="1">
      <c r="M11" s="130"/>
      <c r="Q11" s="24"/>
      <c r="U11" s="24"/>
      <c r="Y11" s="40"/>
    </row>
    <row r="12" spans="1:35" s="4" customFormat="1" ht="46.5" customHeight="1">
      <c r="A12" s="374" t="s">
        <v>1</v>
      </c>
      <c r="B12" s="383" t="s">
        <v>2</v>
      </c>
      <c r="C12" s="383" t="s">
        <v>131</v>
      </c>
      <c r="D12" s="385" t="s">
        <v>114</v>
      </c>
      <c r="E12" s="385"/>
      <c r="F12" s="386" t="s">
        <v>124</v>
      </c>
      <c r="G12" s="387"/>
      <c r="H12" s="388" t="s">
        <v>0</v>
      </c>
      <c r="I12" s="385"/>
      <c r="J12" s="386" t="s">
        <v>124</v>
      </c>
      <c r="K12" s="387"/>
      <c r="L12" s="388" t="s">
        <v>125</v>
      </c>
      <c r="M12" s="385"/>
      <c r="N12" s="378" t="s">
        <v>124</v>
      </c>
      <c r="O12" s="379"/>
      <c r="P12" s="389" t="s">
        <v>120</v>
      </c>
      <c r="Q12" s="390"/>
      <c r="R12" s="378" t="s">
        <v>124</v>
      </c>
      <c r="S12" s="379"/>
      <c r="T12" s="389" t="s">
        <v>127</v>
      </c>
      <c r="U12" s="390"/>
      <c r="V12" s="378" t="s">
        <v>124</v>
      </c>
      <c r="W12" s="379"/>
      <c r="X12" s="376" t="s">
        <v>174</v>
      </c>
      <c r="Y12" s="377"/>
      <c r="Z12" s="378" t="s">
        <v>124</v>
      </c>
      <c r="AA12" s="379"/>
      <c r="AB12" s="380" t="s">
        <v>128</v>
      </c>
      <c r="AC12" s="381"/>
      <c r="AD12" s="376" t="s">
        <v>132</v>
      </c>
      <c r="AE12" s="377"/>
      <c r="AF12" s="369" t="s">
        <v>130</v>
      </c>
      <c r="AG12" s="370"/>
    </row>
    <row r="13" spans="1:35" s="79" customFormat="1" ht="73.5" customHeight="1" thickBot="1">
      <c r="A13" s="375"/>
      <c r="B13" s="384"/>
      <c r="C13" s="384"/>
      <c r="D13" s="191" t="s">
        <v>167</v>
      </c>
      <c r="E13" s="181" t="s">
        <v>168</v>
      </c>
      <c r="F13" s="182" t="s">
        <v>4</v>
      </c>
      <c r="G13" s="183" t="s">
        <v>109</v>
      </c>
      <c r="H13" s="184" t="s">
        <v>167</v>
      </c>
      <c r="I13" s="181" t="s">
        <v>168</v>
      </c>
      <c r="J13" s="182" t="s">
        <v>4</v>
      </c>
      <c r="K13" s="183" t="s">
        <v>109</v>
      </c>
      <c r="L13" s="184" t="s">
        <v>167</v>
      </c>
      <c r="M13" s="181" t="s">
        <v>168</v>
      </c>
      <c r="N13" s="182" t="s">
        <v>4</v>
      </c>
      <c r="O13" s="185" t="s">
        <v>109</v>
      </c>
      <c r="P13" s="184" t="s">
        <v>167</v>
      </c>
      <c r="Q13" s="181" t="s">
        <v>168</v>
      </c>
      <c r="R13" s="182" t="s">
        <v>4</v>
      </c>
      <c r="S13" s="185" t="s">
        <v>109</v>
      </c>
      <c r="T13" s="184" t="s">
        <v>167</v>
      </c>
      <c r="U13" s="181" t="s">
        <v>168</v>
      </c>
      <c r="V13" s="182" t="s">
        <v>4</v>
      </c>
      <c r="W13" s="185" t="s">
        <v>109</v>
      </c>
      <c r="X13" s="184" t="s">
        <v>133</v>
      </c>
      <c r="Y13" s="181" t="s">
        <v>168</v>
      </c>
      <c r="Z13" s="182" t="s">
        <v>4</v>
      </c>
      <c r="AA13" s="183" t="s">
        <v>109</v>
      </c>
      <c r="AB13" s="184" t="s">
        <v>134</v>
      </c>
      <c r="AC13" s="186" t="s">
        <v>163</v>
      </c>
      <c r="AD13" s="184" t="s">
        <v>173</v>
      </c>
      <c r="AE13" s="186" t="s">
        <v>163</v>
      </c>
      <c r="AF13" s="182" t="s">
        <v>4</v>
      </c>
      <c r="AG13" s="185" t="s">
        <v>109</v>
      </c>
      <c r="AI13" s="236"/>
    </row>
    <row r="14" spans="1:35" s="4" customFormat="1" hidden="1">
      <c r="A14" s="154"/>
      <c r="B14" s="166" t="s">
        <v>129</v>
      </c>
      <c r="C14" s="147"/>
      <c r="D14" s="103">
        <f>D88*D92</f>
        <v>1496341.2250000001</v>
      </c>
      <c r="E14" s="178" t="e">
        <f>#REF!*0.58</f>
        <v>#REF!</v>
      </c>
      <c r="F14" s="179" t="e">
        <f>E14-D14</f>
        <v>#REF!</v>
      </c>
      <c r="G14" s="52" t="e">
        <f>E14/D14*100-100</f>
        <v>#REF!</v>
      </c>
      <c r="H14" s="42">
        <f>H88*H92</f>
        <v>981724.55</v>
      </c>
      <c r="I14" s="178" t="e">
        <f>#REF!-отведение!E14</f>
        <v>#REF!</v>
      </c>
      <c r="J14" s="179" t="e">
        <f>I14-H14</f>
        <v>#REF!</v>
      </c>
      <c r="K14" s="52" t="e">
        <f>I14/H14*100-100</f>
        <v>#REF!</v>
      </c>
      <c r="L14" s="42">
        <f>L88*L92</f>
        <v>1261222.7299999997</v>
      </c>
      <c r="M14" s="178" t="e">
        <f>#REF!</f>
        <v>#REF!</v>
      </c>
      <c r="N14" s="179" t="e">
        <f>M14-L14</f>
        <v>#REF!</v>
      </c>
      <c r="O14" s="52" t="e">
        <f>M14/L14*100-100</f>
        <v>#REF!</v>
      </c>
      <c r="P14" s="42">
        <f>P88*P92</f>
        <v>686435.08</v>
      </c>
      <c r="Q14" s="178" t="e">
        <f>#REF!</f>
        <v>#REF!</v>
      </c>
      <c r="R14" s="179" t="e">
        <f>Q14-P14</f>
        <v>#REF!</v>
      </c>
      <c r="S14" s="52" t="e">
        <f>Q14/P14*100-100</f>
        <v>#REF!</v>
      </c>
      <c r="T14" s="42">
        <f>T88*T92</f>
        <v>580933.70000000007</v>
      </c>
      <c r="U14" s="178" t="e">
        <f>#REF!</f>
        <v>#REF!</v>
      </c>
      <c r="V14" s="179" t="e">
        <f>U14-T14</f>
        <v>#REF!</v>
      </c>
      <c r="W14" s="52" t="e">
        <f>U14/T14*100-100</f>
        <v>#REF!</v>
      </c>
      <c r="X14" s="180">
        <f>D14+H14+L14+P14+T14</f>
        <v>5006657.2850000001</v>
      </c>
      <c r="Y14" s="178" t="e">
        <f>E14+I14+M14+Q14+U14</f>
        <v>#REF!</v>
      </c>
      <c r="Z14" s="179" t="e">
        <f>Y14-X14</f>
        <v>#REF!</v>
      </c>
      <c r="AA14" s="179" t="e">
        <f>Y14/X14*100-100</f>
        <v>#REF!</v>
      </c>
      <c r="AB14" s="180" t="e">
        <f>#REF!/1000</f>
        <v>#REF!</v>
      </c>
      <c r="AC14" s="178" t="e">
        <f>#REF!</f>
        <v>#REF!</v>
      </c>
      <c r="AD14" s="180" t="e">
        <f>X14+AB14</f>
        <v>#REF!</v>
      </c>
      <c r="AE14" s="178" t="e">
        <f>Y14+AC14</f>
        <v>#REF!</v>
      </c>
      <c r="AF14" s="179" t="e">
        <f>AE14-AD14</f>
        <v>#REF!</v>
      </c>
      <c r="AG14" s="52" t="e">
        <f>AE14/AD14*100-100</f>
        <v>#REF!</v>
      </c>
    </row>
    <row r="15" spans="1:35" s="4" customFormat="1" hidden="1">
      <c r="A15" s="154"/>
      <c r="B15" s="166" t="s">
        <v>135</v>
      </c>
      <c r="C15" s="147"/>
      <c r="D15" s="141"/>
      <c r="E15" s="192" t="e">
        <f>#REF!*0.4532</f>
        <v>#REF!</v>
      </c>
      <c r="F15" s="193"/>
      <c r="G15" s="194"/>
      <c r="H15" s="195"/>
      <c r="I15" s="192" t="e">
        <f>#REF!*0.0031</f>
        <v>#REF!</v>
      </c>
      <c r="J15" s="193"/>
      <c r="K15" s="194"/>
      <c r="L15" s="195"/>
      <c r="M15" s="192" t="e">
        <f>#REF!*0.1585</f>
        <v>#REF!</v>
      </c>
      <c r="N15" s="193"/>
      <c r="O15" s="194"/>
      <c r="P15" s="195"/>
      <c r="Q15" s="192" t="e">
        <f>#REF!*0.208</f>
        <v>#REF!</v>
      </c>
      <c r="R15" s="193"/>
      <c r="S15" s="194"/>
      <c r="T15" s="195"/>
      <c r="U15" s="192" t="e">
        <f>#REF!*0.1772</f>
        <v>#REF!</v>
      </c>
      <c r="V15" s="193"/>
      <c r="W15" s="194"/>
      <c r="X15" s="195"/>
      <c r="Y15" s="192" t="e">
        <f>E15+I15+M15+Q15+U15</f>
        <v>#REF!</v>
      </c>
      <c r="Z15" s="193"/>
      <c r="AA15" s="193"/>
      <c r="AB15" s="195"/>
      <c r="AC15" s="192"/>
      <c r="AD15" s="195"/>
      <c r="AE15" s="192" t="e">
        <f>(4331924083+471097608)/1000-AE14</f>
        <v>#REF!</v>
      </c>
      <c r="AF15" s="193"/>
      <c r="AG15" s="194"/>
    </row>
    <row r="16" spans="1:35" s="4" customFormat="1" hidden="1">
      <c r="A16" s="155"/>
      <c r="B16" s="167" t="s">
        <v>136</v>
      </c>
      <c r="C16" s="148"/>
      <c r="D16" s="196">
        <v>1385118.7992872854</v>
      </c>
      <c r="E16" s="197" t="e">
        <f>E14+E15</f>
        <v>#REF!</v>
      </c>
      <c r="F16" s="198" t="e">
        <f>E16-D16</f>
        <v>#REF!</v>
      </c>
      <c r="G16" s="199" t="e">
        <f>E16/D16*100-100</f>
        <v>#REF!</v>
      </c>
      <c r="H16" s="200">
        <v>978848.77862214018</v>
      </c>
      <c r="I16" s="197" t="e">
        <f>I14+I15</f>
        <v>#REF!</v>
      </c>
      <c r="J16" s="198" t="e">
        <f>I16-H16</f>
        <v>#REF!</v>
      </c>
      <c r="K16" s="201" t="e">
        <f>I16/H16*100-100</f>
        <v>#REF!</v>
      </c>
      <c r="L16" s="200">
        <v>787697.01831592387</v>
      </c>
      <c r="M16" s="197" t="e">
        <f>M14+M15</f>
        <v>#REF!</v>
      </c>
      <c r="N16" s="198" t="e">
        <f>M16-L16</f>
        <v>#REF!</v>
      </c>
      <c r="O16" s="201" t="e">
        <f>M16/L16*100-100</f>
        <v>#REF!</v>
      </c>
      <c r="P16" s="200">
        <f>P14</f>
        <v>686435.08</v>
      </c>
      <c r="Q16" s="197" t="e">
        <f>Q14+Q15</f>
        <v>#REF!</v>
      </c>
      <c r="R16" s="198" t="e">
        <f>Q16-P16</f>
        <v>#REF!</v>
      </c>
      <c r="S16" s="201" t="e">
        <f>Q16/P16*100-100</f>
        <v>#REF!</v>
      </c>
      <c r="T16" s="200">
        <f>T14</f>
        <v>580933.70000000007</v>
      </c>
      <c r="U16" s="197" t="e">
        <f>U14+U15</f>
        <v>#REF!</v>
      </c>
      <c r="V16" s="198" t="e">
        <f>U16-T16</f>
        <v>#REF!</v>
      </c>
      <c r="W16" s="201" t="e">
        <f>U16/T16*100-100</f>
        <v>#REF!</v>
      </c>
      <c r="X16" s="200">
        <f>X14+X15</f>
        <v>5006657.2850000001</v>
      </c>
      <c r="Y16" s="197" t="e">
        <f>Y14+Y15</f>
        <v>#REF!</v>
      </c>
      <c r="Z16" s="198" t="e">
        <f>Y16-X16</f>
        <v>#REF!</v>
      </c>
      <c r="AA16" s="198" t="e">
        <f>Y16/X16*100-100</f>
        <v>#REF!</v>
      </c>
      <c r="AB16" s="200" t="e">
        <f>AB14+AB15</f>
        <v>#REF!</v>
      </c>
      <c r="AC16" s="197" t="e">
        <f>AC14+AC15</f>
        <v>#REF!</v>
      </c>
      <c r="AD16" s="200" t="e">
        <f t="shared" ref="AD16" si="0">AD14+AD15</f>
        <v>#REF!</v>
      </c>
      <c r="AE16" s="197" t="e">
        <f>AE14+AE15</f>
        <v>#REF!</v>
      </c>
      <c r="AF16" s="198" t="e">
        <f>AE16-AD16</f>
        <v>#REF!</v>
      </c>
      <c r="AG16" s="201" t="e">
        <f>AE16/AD16*100-100</f>
        <v>#REF!</v>
      </c>
    </row>
    <row r="17" spans="1:38" s="4" customFormat="1" hidden="1">
      <c r="A17" s="154"/>
      <c r="B17" s="147"/>
      <c r="C17" s="147"/>
      <c r="D17" s="141"/>
      <c r="E17" s="202"/>
      <c r="F17" s="203"/>
      <c r="G17" s="204"/>
      <c r="H17" s="205"/>
      <c r="I17" s="202"/>
      <c r="J17" s="203"/>
      <c r="K17" s="206"/>
      <c r="L17" s="205"/>
      <c r="M17" s="202"/>
      <c r="N17" s="203"/>
      <c r="O17" s="206"/>
      <c r="P17" s="205"/>
      <c r="Q17" s="202"/>
      <c r="R17" s="203"/>
      <c r="S17" s="206"/>
      <c r="T17" s="205"/>
      <c r="U17" s="202"/>
      <c r="V17" s="203"/>
      <c r="W17" s="206"/>
      <c r="X17" s="205"/>
      <c r="Y17" s="207"/>
      <c r="Z17" s="208"/>
      <c r="AA17" s="208"/>
      <c r="AB17" s="209"/>
      <c r="AC17" s="207"/>
      <c r="AD17" s="209"/>
      <c r="AE17" s="207"/>
      <c r="AF17" s="208"/>
      <c r="AG17" s="210"/>
    </row>
    <row r="18" spans="1:38" s="4" customFormat="1" hidden="1">
      <c r="A18" s="154"/>
      <c r="B18" s="147"/>
      <c r="C18" s="147"/>
      <c r="D18" s="103"/>
      <c r="E18" s="202"/>
      <c r="F18" s="203"/>
      <c r="G18" s="204"/>
      <c r="H18" s="211"/>
      <c r="I18" s="202"/>
      <c r="J18" s="203"/>
      <c r="K18" s="206"/>
      <c r="L18" s="205"/>
      <c r="M18" s="202"/>
      <c r="N18" s="203"/>
      <c r="O18" s="206"/>
      <c r="P18" s="212"/>
      <c r="Q18" s="213"/>
      <c r="R18" s="214"/>
      <c r="S18" s="215"/>
      <c r="T18" s="205"/>
      <c r="U18" s="202"/>
      <c r="V18" s="203"/>
      <c r="W18" s="206"/>
      <c r="X18" s="205"/>
      <c r="Y18" s="207"/>
      <c r="Z18" s="208"/>
      <c r="AA18" s="208"/>
      <c r="AB18" s="209"/>
      <c r="AC18" s="207"/>
      <c r="AD18" s="209"/>
      <c r="AE18" s="207"/>
      <c r="AF18" s="208"/>
      <c r="AG18" s="210"/>
    </row>
    <row r="19" spans="1:38" s="4" customFormat="1" ht="16.5" thickBot="1">
      <c r="A19" s="216"/>
      <c r="B19" s="217"/>
      <c r="C19" s="217"/>
      <c r="D19" s="265"/>
      <c r="E19" s="266"/>
      <c r="F19" s="267"/>
      <c r="G19" s="268"/>
      <c r="H19" s="269"/>
      <c r="I19" s="266"/>
      <c r="J19" s="267"/>
      <c r="K19" s="270"/>
      <c r="L19" s="271"/>
      <c r="M19" s="266"/>
      <c r="N19" s="267"/>
      <c r="O19" s="270"/>
      <c r="P19" s="272"/>
      <c r="Q19" s="273"/>
      <c r="R19" s="274"/>
      <c r="S19" s="275"/>
      <c r="T19" s="271"/>
      <c r="U19" s="266"/>
      <c r="V19" s="267"/>
      <c r="W19" s="270"/>
      <c r="X19" s="271"/>
      <c r="Y19" s="276"/>
      <c r="Z19" s="182"/>
      <c r="AA19" s="182"/>
      <c r="AB19" s="184"/>
      <c r="AC19" s="181"/>
      <c r="AD19" s="184"/>
      <c r="AE19" s="181"/>
      <c r="AF19" s="182"/>
      <c r="AG19" s="185"/>
    </row>
    <row r="20" spans="1:38" ht="47.25">
      <c r="A20" s="156" t="s">
        <v>3</v>
      </c>
      <c r="B20" s="168" t="s">
        <v>137</v>
      </c>
      <c r="C20" s="253" t="s">
        <v>138</v>
      </c>
      <c r="D20" s="277">
        <f>D21+D27+D32+D36+D33</f>
        <v>1404767.375</v>
      </c>
      <c r="E20" s="277">
        <f t="shared" ref="E20:Y20" si="1">E21+E27+E32+E36+E33</f>
        <v>588491.1258718</v>
      </c>
      <c r="F20" s="277">
        <f t="shared" si="1"/>
        <v>-816276.2491282</v>
      </c>
      <c r="G20" s="277">
        <f t="shared" ref="G20:G21" si="2">E20/D20*100-100</f>
        <v>-58.10757451056265</v>
      </c>
      <c r="H20" s="277">
        <f t="shared" si="1"/>
        <v>1084946.44</v>
      </c>
      <c r="I20" s="277">
        <f t="shared" si="1"/>
        <v>733408.19176815008</v>
      </c>
      <c r="J20" s="277">
        <f t="shared" si="1"/>
        <v>-351538.24823184992</v>
      </c>
      <c r="K20" s="277">
        <f t="shared" ref="K20:K21" si="3">I20/H20*100-100</f>
        <v>-32.401438013092147</v>
      </c>
      <c r="L20" s="277">
        <f t="shared" si="1"/>
        <v>1196911.68</v>
      </c>
      <c r="M20" s="277">
        <f t="shared" si="1"/>
        <v>560281.50986024993</v>
      </c>
      <c r="N20" s="277">
        <f t="shared" si="1"/>
        <v>-636630.17013975</v>
      </c>
      <c r="O20" s="277">
        <f t="shared" ref="O20:O21" si="4">M20/L20*100-100</f>
        <v>-53.189402424391915</v>
      </c>
      <c r="P20" s="277">
        <f t="shared" si="1"/>
        <v>718157.67999999993</v>
      </c>
      <c r="Q20" s="277">
        <f t="shared" si="1"/>
        <v>218948.660852</v>
      </c>
      <c r="R20" s="277">
        <f t="shared" si="1"/>
        <v>-499209.01914799999</v>
      </c>
      <c r="S20" s="277">
        <f t="shared" ref="S20:S21" si="5">Q20/P20*100-100</f>
        <v>-69.512452912569287</v>
      </c>
      <c r="T20" s="277">
        <f t="shared" si="1"/>
        <v>550794.66</v>
      </c>
      <c r="U20" s="277">
        <f t="shared" si="1"/>
        <v>283885.32011780003</v>
      </c>
      <c r="V20" s="277">
        <f t="shared" si="1"/>
        <v>-266909.3398822</v>
      </c>
      <c r="W20" s="277">
        <f t="shared" ref="W20:W21" si="6">U20/T20*100-100</f>
        <v>-48.458955626439803</v>
      </c>
      <c r="X20" s="277">
        <f t="shared" si="1"/>
        <v>4955577.834999999</v>
      </c>
      <c r="Y20" s="277">
        <f t="shared" si="1"/>
        <v>2385014.8084700005</v>
      </c>
      <c r="Z20" s="188">
        <f>Y20-X20</f>
        <v>-2570563.0265299985</v>
      </c>
      <c r="AA20" s="188">
        <f>Y20/X20*100-100</f>
        <v>-51.872114859638749</v>
      </c>
      <c r="AB20" s="189">
        <f>AB21+AB27+AB32+AB36+AB33</f>
        <v>256332.14</v>
      </c>
      <c r="AC20" s="187">
        <f>AC21+AC27+AC32+AC36+AC33</f>
        <v>704941.21</v>
      </c>
      <c r="AD20" s="189">
        <f>AD21+AD27+AD32+AD36+AD33</f>
        <v>5211909.9749999996</v>
      </c>
      <c r="AE20" s="187" t="e">
        <f>AE21+AE27+AE32+AE36+AE33</f>
        <v>#REF!</v>
      </c>
      <c r="AF20" s="188" t="e">
        <f>AE20-AD20</f>
        <v>#REF!</v>
      </c>
      <c r="AG20" s="190" t="e">
        <f>AE20/AD20*100-100</f>
        <v>#REF!</v>
      </c>
      <c r="AH20" s="241"/>
    </row>
    <row r="21" spans="1:38" ht="31.5">
      <c r="A21" s="157">
        <v>1</v>
      </c>
      <c r="B21" s="169" t="s">
        <v>139</v>
      </c>
      <c r="C21" s="254" t="s">
        <v>140</v>
      </c>
      <c r="D21" s="280">
        <f>SUM(D22:D26)</f>
        <v>320309.995</v>
      </c>
      <c r="E21" s="280">
        <f t="shared" ref="E21:Y21" si="7">SUM(E22:E26)</f>
        <v>125726.80809667599</v>
      </c>
      <c r="F21" s="280">
        <f t="shared" si="7"/>
        <v>-194583.18690332401</v>
      </c>
      <c r="G21" s="280">
        <f t="shared" si="2"/>
        <v>-60.748396847036886</v>
      </c>
      <c r="H21" s="280">
        <f t="shared" si="7"/>
        <v>329.39</v>
      </c>
      <c r="I21" s="280">
        <f t="shared" si="7"/>
        <v>79.588369483000008</v>
      </c>
      <c r="J21" s="280">
        <f t="shared" si="7"/>
        <v>-249.80163051699998</v>
      </c>
      <c r="K21" s="280">
        <f t="shared" si="3"/>
        <v>-75.837648537296218</v>
      </c>
      <c r="L21" s="280">
        <f t="shared" si="7"/>
        <v>311499.39</v>
      </c>
      <c r="M21" s="280">
        <f t="shared" si="7"/>
        <v>26220.446178405</v>
      </c>
      <c r="N21" s="280">
        <f t="shared" si="7"/>
        <v>-285278.94382159499</v>
      </c>
      <c r="O21" s="280">
        <f t="shared" si="4"/>
        <v>-91.582504807343284</v>
      </c>
      <c r="P21" s="280">
        <f t="shared" si="7"/>
        <v>324464.61</v>
      </c>
      <c r="Q21" s="280">
        <f t="shared" si="7"/>
        <v>16536.02314144</v>
      </c>
      <c r="R21" s="280">
        <f t="shared" si="7"/>
        <v>-307928.58685855998</v>
      </c>
      <c r="S21" s="280">
        <f t="shared" si="5"/>
        <v>-94.903597300969125</v>
      </c>
      <c r="T21" s="280">
        <f t="shared" si="7"/>
        <v>18392.620000000003</v>
      </c>
      <c r="U21" s="280">
        <f t="shared" si="7"/>
        <v>6351.3997039959995</v>
      </c>
      <c r="V21" s="280">
        <f t="shared" si="7"/>
        <v>-12041.220296003999</v>
      </c>
      <c r="W21" s="280">
        <f t="shared" si="6"/>
        <v>-65.467672881862399</v>
      </c>
      <c r="X21" s="280">
        <f t="shared" si="7"/>
        <v>974996.00499999989</v>
      </c>
      <c r="Y21" s="280">
        <f t="shared" si="7"/>
        <v>174914.26549000002</v>
      </c>
      <c r="Z21" s="31">
        <f>Y21-X21</f>
        <v>-800081.73950999987</v>
      </c>
      <c r="AA21" s="31">
        <f>Y21/X21*100-100</f>
        <v>-82.060001826366459</v>
      </c>
      <c r="AB21" s="44">
        <f t="shared" ref="AB21:AE21" si="8">SUM(AB22:AB26)</f>
        <v>0</v>
      </c>
      <c r="AC21" s="11">
        <f t="shared" si="8"/>
        <v>0</v>
      </c>
      <c r="AD21" s="44">
        <f t="shared" si="8"/>
        <v>974996.00499999989</v>
      </c>
      <c r="AE21" s="11">
        <f t="shared" si="8"/>
        <v>174914.26549000002</v>
      </c>
      <c r="AF21" s="31">
        <f>AE21-AD21</f>
        <v>-800081.73950999987</v>
      </c>
      <c r="AG21" s="61">
        <f>AE21/AD21*100-100</f>
        <v>-82.060001826366459</v>
      </c>
      <c r="AH21" s="241"/>
    </row>
    <row r="22" spans="1:38" s="3" customFormat="1">
      <c r="A22" s="158" t="s">
        <v>64</v>
      </c>
      <c r="B22" s="170" t="s">
        <v>5</v>
      </c>
      <c r="C22" s="255" t="s">
        <v>140</v>
      </c>
      <c r="D22" s="283">
        <v>58518.142999999996</v>
      </c>
      <c r="E22" s="283">
        <f>41141367.33/1000</f>
        <v>41141.367330000001</v>
      </c>
      <c r="F22" s="252">
        <f t="shared" ref="F22:F85" si="9">E22-D22</f>
        <v>-17376.775669999995</v>
      </c>
      <c r="G22" s="252">
        <f>E22/D22*100-100</f>
        <v>-29.694680622384055</v>
      </c>
      <c r="H22" s="283"/>
      <c r="I22" s="283"/>
      <c r="J22" s="252"/>
      <c r="K22" s="252"/>
      <c r="L22" s="283">
        <v>176246.9</v>
      </c>
      <c r="M22" s="283">
        <f>268863.31/1000+21648265.1/1000+177009.86/1000</f>
        <v>22094.138269999999</v>
      </c>
      <c r="N22" s="252">
        <f t="shared" ref="N22" si="10">M22-L22</f>
        <v>-154152.76173</v>
      </c>
      <c r="O22" s="252">
        <f>M22/L22*100-100</f>
        <v>-87.464098222436817</v>
      </c>
      <c r="P22" s="283">
        <v>79783.48</v>
      </c>
      <c r="Q22" s="283">
        <f>367944.71/1000+4043123.15/1000</f>
        <v>4411.0678600000001</v>
      </c>
      <c r="R22" s="252">
        <f t="shared" ref="R22" si="11">Q22-P22</f>
        <v>-75372.41214</v>
      </c>
      <c r="S22" s="252">
        <f>Q22/P22*100-100</f>
        <v>-94.471201481810525</v>
      </c>
      <c r="T22" s="283">
        <v>3228.98</v>
      </c>
      <c r="U22" s="283">
        <f>4388314.47/1000</f>
        <v>4388.3144699999993</v>
      </c>
      <c r="V22" s="252">
        <f t="shared" ref="V22" si="12">U22-T22</f>
        <v>1159.3344699999993</v>
      </c>
      <c r="W22" s="252">
        <f>U22/T22*100-100</f>
        <v>35.904046169378546</v>
      </c>
      <c r="X22" s="283">
        <f t="shared" ref="X22:Y26" si="13">D22+H22+L22+P22+T22</f>
        <v>317777.50299999997</v>
      </c>
      <c r="Y22" s="283">
        <f t="shared" si="13"/>
        <v>72034.887929999997</v>
      </c>
      <c r="Z22" s="21">
        <f>Y22-X22</f>
        <v>-245742.61506999997</v>
      </c>
      <c r="AA22" s="21">
        <f>Y22/X22*100-100</f>
        <v>-77.331659022445024</v>
      </c>
      <c r="AB22" s="53"/>
      <c r="AC22" s="9"/>
      <c r="AD22" s="53">
        <f>X22+AB22</f>
        <v>317777.50299999997</v>
      </c>
      <c r="AE22" s="9">
        <f>E22+I22+M22+Q22+U22+AC22</f>
        <v>72034.887929999997</v>
      </c>
      <c r="AF22" s="21">
        <f>AE22-AD22</f>
        <v>-245742.61506999997</v>
      </c>
      <c r="AG22" s="54">
        <f>AE22/AD22*100-100</f>
        <v>-77.331659022445024</v>
      </c>
      <c r="AH22" s="242"/>
      <c r="AI22" s="96"/>
      <c r="AJ22" s="96"/>
    </row>
    <row r="23" spans="1:38" s="3" customFormat="1">
      <c r="A23" s="158" t="s">
        <v>65</v>
      </c>
      <c r="B23" s="170" t="s">
        <v>141</v>
      </c>
      <c r="C23" s="255" t="s">
        <v>140</v>
      </c>
      <c r="D23" s="283"/>
      <c r="E23" s="283"/>
      <c r="F23" s="252"/>
      <c r="G23" s="252"/>
      <c r="H23" s="283"/>
      <c r="I23" s="283"/>
      <c r="J23" s="252"/>
      <c r="K23" s="252"/>
      <c r="L23" s="283"/>
      <c r="M23" s="283"/>
      <c r="N23" s="252"/>
      <c r="O23" s="252"/>
      <c r="P23" s="283"/>
      <c r="Q23" s="283"/>
      <c r="R23" s="252"/>
      <c r="S23" s="252"/>
      <c r="T23" s="283"/>
      <c r="U23" s="283"/>
      <c r="V23" s="252"/>
      <c r="W23" s="252"/>
      <c r="X23" s="283"/>
      <c r="Y23" s="283"/>
      <c r="Z23" s="21"/>
      <c r="AA23" s="21"/>
      <c r="AB23" s="53"/>
      <c r="AC23" s="9"/>
      <c r="AD23" s="53">
        <f>X23+AB23</f>
        <v>0</v>
      </c>
      <c r="AE23" s="9">
        <f>SUM(M23:AC23)</f>
        <v>0</v>
      </c>
      <c r="AF23" s="21"/>
      <c r="AG23" s="54"/>
      <c r="AH23" s="243"/>
    </row>
    <row r="24" spans="1:38" s="3" customFormat="1">
      <c r="A24" s="158" t="s">
        <v>66</v>
      </c>
      <c r="B24" s="170" t="s">
        <v>142</v>
      </c>
      <c r="C24" s="255" t="s">
        <v>140</v>
      </c>
      <c r="D24" s="283">
        <v>30931.982</v>
      </c>
      <c r="E24" s="283">
        <f>(2004070.13/1000+12716.8/1000)*E81+7726296.68/1000+20573429.25/1000</f>
        <v>29213.733766676</v>
      </c>
      <c r="F24" s="252">
        <f t="shared" si="9"/>
        <v>-1718.2482333240005</v>
      </c>
      <c r="G24" s="252">
        <f t="shared" ref="G24:G87" si="14">E24/D24*100-100</f>
        <v>-5.554924457553355</v>
      </c>
      <c r="H24" s="283">
        <v>229.87</v>
      </c>
      <c r="I24" s="283">
        <f>(2004070.13/1000+12716.8/1000)*I81</f>
        <v>6.252039482999999</v>
      </c>
      <c r="J24" s="252">
        <f t="shared" ref="J24" si="15">I24-H24</f>
        <v>-223.617960517</v>
      </c>
      <c r="K24" s="252">
        <f t="shared" ref="K24" si="16">I24/H24*100-100</f>
        <v>-97.28018467699134</v>
      </c>
      <c r="L24" s="283">
        <v>10818</v>
      </c>
      <c r="M24" s="283">
        <f>(2004070.13/1000+12716.8/1000)*M81+202399.15/1000+871034.73/1000</f>
        <v>1393.0946084049999</v>
      </c>
      <c r="N24" s="252">
        <f t="shared" ref="N24" si="17">M24-L24</f>
        <v>-9424.9053915950008</v>
      </c>
      <c r="O24" s="252">
        <f t="shared" ref="O24" si="18">M24/L24*100-100</f>
        <v>-87.122438450684044</v>
      </c>
      <c r="P24" s="283">
        <v>14196.5</v>
      </c>
      <c r="Q24" s="283">
        <f>(2004070.13/1000+12716.8/1000)*Q81</f>
        <v>419.49168143999992</v>
      </c>
      <c r="R24" s="252">
        <f t="shared" ref="R24" si="19">Q24-P24</f>
        <v>-13777.00831856</v>
      </c>
      <c r="S24" s="252">
        <f t="shared" ref="S24" si="20">Q24/P24*100-100</f>
        <v>-97.045104910083467</v>
      </c>
      <c r="T24" s="283">
        <v>14726.31</v>
      </c>
      <c r="U24" s="283">
        <f>(2004070.13/1000+12716.8/1000)*U81+1605710.59/1000</f>
        <v>1963.0852339960002</v>
      </c>
      <c r="V24" s="252">
        <f t="shared" ref="V24" si="21">U24-T24</f>
        <v>-12763.224766003999</v>
      </c>
      <c r="W24" s="252">
        <f t="shared" ref="W24" si="22">U24/T24*100-100</f>
        <v>-86.669537487693788</v>
      </c>
      <c r="X24" s="283">
        <f t="shared" si="13"/>
        <v>70902.661999999997</v>
      </c>
      <c r="Y24" s="283">
        <f t="shared" si="13"/>
        <v>32995.657330000002</v>
      </c>
      <c r="Z24" s="21">
        <f>Y24-X24</f>
        <v>-37907.004669999995</v>
      </c>
      <c r="AA24" s="21">
        <f>Y24/X24*100-100</f>
        <v>-53.463443544616133</v>
      </c>
      <c r="AB24" s="53"/>
      <c r="AC24" s="9"/>
      <c r="AD24" s="53">
        <f>X24+AB24</f>
        <v>70902.661999999997</v>
      </c>
      <c r="AE24" s="9">
        <f>E24+I24+M24+Q24+U24+AC24</f>
        <v>32995.657330000002</v>
      </c>
      <c r="AF24" s="21">
        <f>AE24-AD24</f>
        <v>-37907.004669999995</v>
      </c>
      <c r="AG24" s="54">
        <f>AE24/AD24*100-100</f>
        <v>-53.463443544616133</v>
      </c>
      <c r="AH24" s="242">
        <v>1648.9552099999999</v>
      </c>
      <c r="AI24" s="96">
        <f>Y24-AH24</f>
        <v>31346.702120000002</v>
      </c>
      <c r="AJ24" s="96"/>
    </row>
    <row r="25" spans="1:38" s="3" customFormat="1">
      <c r="A25" s="158" t="s">
        <v>67</v>
      </c>
      <c r="B25" s="170" t="s">
        <v>143</v>
      </c>
      <c r="C25" s="255" t="s">
        <v>140</v>
      </c>
      <c r="D25" s="283"/>
      <c r="E25" s="283"/>
      <c r="F25" s="252"/>
      <c r="G25" s="252"/>
      <c r="H25" s="283"/>
      <c r="I25" s="283"/>
      <c r="J25" s="252"/>
      <c r="K25" s="252"/>
      <c r="L25" s="283"/>
      <c r="M25" s="284"/>
      <c r="N25" s="252"/>
      <c r="O25" s="252"/>
      <c r="P25" s="283"/>
      <c r="Q25" s="283"/>
      <c r="R25" s="252"/>
      <c r="S25" s="252"/>
      <c r="T25" s="283"/>
      <c r="U25" s="283"/>
      <c r="V25" s="252"/>
      <c r="W25" s="252"/>
      <c r="X25" s="283"/>
      <c r="Y25" s="283"/>
      <c r="Z25" s="21"/>
      <c r="AA25" s="21"/>
      <c r="AB25" s="53"/>
      <c r="AC25" s="9"/>
      <c r="AD25" s="53">
        <f>X25+AB25</f>
        <v>0</v>
      </c>
      <c r="AE25" s="9">
        <f>SUM(M25:AC25)</f>
        <v>0</v>
      </c>
      <c r="AF25" s="21"/>
      <c r="AG25" s="54"/>
      <c r="AH25" s="242"/>
    </row>
    <row r="26" spans="1:38" s="3" customFormat="1" ht="18.75">
      <c r="A26" s="158" t="s">
        <v>68</v>
      </c>
      <c r="B26" s="170" t="s">
        <v>6</v>
      </c>
      <c r="C26" s="255" t="s">
        <v>140</v>
      </c>
      <c r="D26" s="283">
        <v>230859.87</v>
      </c>
      <c r="E26" s="283">
        <f>55371707/1000</f>
        <v>55371.707000000002</v>
      </c>
      <c r="F26" s="252">
        <f t="shared" si="9"/>
        <v>-175488.163</v>
      </c>
      <c r="G26" s="252">
        <f t="shared" si="14"/>
        <v>-76.015014216199631</v>
      </c>
      <c r="H26" s="283">
        <v>99.52</v>
      </c>
      <c r="I26" s="283">
        <f>1388.52/1000+71947.81/1000</f>
        <v>73.336330000000004</v>
      </c>
      <c r="J26" s="252">
        <f t="shared" ref="J26" si="23">I26-H26</f>
        <v>-26.183669999999992</v>
      </c>
      <c r="K26" s="252">
        <f t="shared" ref="K26" si="24">I26/H26*100-100</f>
        <v>-26.309957797427643</v>
      </c>
      <c r="L26" s="283">
        <v>124434.49</v>
      </c>
      <c r="M26" s="283">
        <f>2733213.3/1000</f>
        <v>2733.2132999999999</v>
      </c>
      <c r="N26" s="252">
        <f t="shared" ref="N26" si="25">M26-L26</f>
        <v>-121701.2767</v>
      </c>
      <c r="O26" s="252">
        <f t="shared" ref="O26" si="26">M26/L26*100-100</f>
        <v>-97.80349218291488</v>
      </c>
      <c r="P26" s="283">
        <v>230484.63</v>
      </c>
      <c r="Q26" s="283">
        <f>11705463.6/1000</f>
        <v>11705.463599999999</v>
      </c>
      <c r="R26" s="252">
        <f t="shared" ref="R26" si="27">Q26-P26</f>
        <v>-218779.16640000002</v>
      </c>
      <c r="S26" s="252">
        <f t="shared" ref="S26" si="28">Q26/P26*100-100</f>
        <v>-94.921369116890787</v>
      </c>
      <c r="T26" s="283">
        <v>437.33</v>
      </c>
      <c r="U26" s="285"/>
      <c r="V26" s="252">
        <f t="shared" ref="V26" si="29">U26-T26</f>
        <v>-437.33</v>
      </c>
      <c r="W26" s="252">
        <f t="shared" ref="W26" si="30">U26/T26*100-100</f>
        <v>-100</v>
      </c>
      <c r="X26" s="283">
        <f t="shared" si="13"/>
        <v>586315.84</v>
      </c>
      <c r="Y26" s="283">
        <f>E26+I26+M26+Q26+U26</f>
        <v>69883.720230000006</v>
      </c>
      <c r="Z26" s="21">
        <f>Y26-X26</f>
        <v>-516432.11976999999</v>
      </c>
      <c r="AA26" s="21">
        <f>Y26/X26*100-100</f>
        <v>-88.080874596531459</v>
      </c>
      <c r="AB26" s="53"/>
      <c r="AC26" s="87"/>
      <c r="AD26" s="53">
        <f>X26+AB26</f>
        <v>586315.84</v>
      </c>
      <c r="AE26" s="9">
        <f>E26+I26+M26+Q26+U26+AC26</f>
        <v>69883.720230000006</v>
      </c>
      <c r="AF26" s="21">
        <f>AE26-AD26</f>
        <v>-516432.11976999999</v>
      </c>
      <c r="AG26" s="54">
        <f>AE26/AD26*100-100</f>
        <v>-88.080874596531459</v>
      </c>
      <c r="AH26" s="242"/>
      <c r="AI26" s="235"/>
      <c r="AJ26" s="96"/>
      <c r="AL26" s="96"/>
    </row>
    <row r="27" spans="1:38" ht="31.5">
      <c r="A27" s="157">
        <v>2</v>
      </c>
      <c r="B27" s="169" t="s">
        <v>144</v>
      </c>
      <c r="C27" s="254" t="s">
        <v>140</v>
      </c>
      <c r="D27" s="280">
        <f>D28+D29+D30+D31</f>
        <v>344625.14</v>
      </c>
      <c r="E27" s="280">
        <f>E28+E29+E30+E31</f>
        <v>259601.16498</v>
      </c>
      <c r="F27" s="280">
        <f t="shared" ref="F27:X27" si="31">F28+F29+F30+F31</f>
        <v>-85023.975019999998</v>
      </c>
      <c r="G27" s="280">
        <f>E27/D27*100-100</f>
        <v>-24.671437208556526</v>
      </c>
      <c r="H27" s="280">
        <f t="shared" si="31"/>
        <v>45955.73</v>
      </c>
      <c r="I27" s="280">
        <f t="shared" si="31"/>
        <v>10504.750320000001</v>
      </c>
      <c r="J27" s="280">
        <f t="shared" si="31"/>
        <v>-35450.979679999997</v>
      </c>
      <c r="K27" s="280">
        <f>I27/H27*100-100</f>
        <v>-77.14158752347096</v>
      </c>
      <c r="L27" s="280">
        <f t="shared" si="31"/>
        <v>187770.15</v>
      </c>
      <c r="M27" s="280">
        <f t="shared" si="31"/>
        <v>150665.27709000002</v>
      </c>
      <c r="N27" s="280">
        <f t="shared" si="31"/>
        <v>-37104.872909999984</v>
      </c>
      <c r="O27" s="280">
        <f>M27/L27*100-100</f>
        <v>-19.76079419971704</v>
      </c>
      <c r="P27" s="280">
        <f t="shared" si="31"/>
        <v>171709.93999999997</v>
      </c>
      <c r="Q27" s="280">
        <f t="shared" si="31"/>
        <v>132496.26532999999</v>
      </c>
      <c r="R27" s="280">
        <f t="shared" si="31"/>
        <v>-39213.674669999986</v>
      </c>
      <c r="S27" s="280">
        <f>Q27/P27*100-100</f>
        <v>-22.837160545277683</v>
      </c>
      <c r="T27" s="280">
        <f t="shared" si="31"/>
        <v>112946.95</v>
      </c>
      <c r="U27" s="280">
        <f t="shared" si="31"/>
        <v>135535.58356</v>
      </c>
      <c r="V27" s="280">
        <f t="shared" si="31"/>
        <v>22588.633560000006</v>
      </c>
      <c r="W27" s="280">
        <f>U27/T27*100-100</f>
        <v>19.999330269653143</v>
      </c>
      <c r="X27" s="280">
        <f t="shared" si="31"/>
        <v>863007.91</v>
      </c>
      <c r="Y27" s="280">
        <f>Y28+Y29+Y30+Y31</f>
        <v>688803.04128</v>
      </c>
      <c r="Z27" s="31">
        <f>Y27-X27</f>
        <v>-174204.86872000003</v>
      </c>
      <c r="AA27" s="31">
        <f>Y27/X27*100-100</f>
        <v>-20.185778913660243</v>
      </c>
      <c r="AB27" s="44"/>
      <c r="AC27" s="11"/>
      <c r="AD27" s="44">
        <f>SUM(AD28:AD29)</f>
        <v>863007.91</v>
      </c>
      <c r="AE27" s="11">
        <f>SUM(AE28:AE29)</f>
        <v>442835.25210000004</v>
      </c>
      <c r="AF27" s="31">
        <f>AE27-AD27</f>
        <v>-420172.65789999999</v>
      </c>
      <c r="AG27" s="61">
        <f>AE27/AD27*100-100</f>
        <v>-48.686999624371921</v>
      </c>
      <c r="AH27" s="242">
        <v>0</v>
      </c>
      <c r="AI27" s="83"/>
      <c r="AJ27" s="83"/>
    </row>
    <row r="28" spans="1:38" ht="31.5">
      <c r="A28" s="302" t="s">
        <v>69</v>
      </c>
      <c r="B28" s="171" t="s">
        <v>7</v>
      </c>
      <c r="C28" s="256" t="s">
        <v>140</v>
      </c>
      <c r="D28" s="283">
        <v>317480.55499999999</v>
      </c>
      <c r="E28" s="283">
        <f>232598762.75/1000</f>
        <v>232598.76274999999</v>
      </c>
      <c r="F28" s="252">
        <f t="shared" si="9"/>
        <v>-84881.792249999999</v>
      </c>
      <c r="G28" s="252">
        <f t="shared" si="14"/>
        <v>-26.736060181701532</v>
      </c>
      <c r="H28" s="283">
        <v>42336</v>
      </c>
      <c r="I28" s="283">
        <f>9432415/1000</f>
        <v>9432.4150000000009</v>
      </c>
      <c r="J28" s="252">
        <f t="shared" ref="J28:J32" si="32">I28-H28</f>
        <v>-32903.584999999999</v>
      </c>
      <c r="K28" s="252">
        <f t="shared" ref="K28:K29" si="33">I28/H28*100-100</f>
        <v>-77.720108182161752</v>
      </c>
      <c r="L28" s="283">
        <v>172980.33</v>
      </c>
      <c r="M28" s="283">
        <f>4401469.5/1000+130070057.5/1000</f>
        <v>134471.527</v>
      </c>
      <c r="N28" s="252">
        <f t="shared" ref="N28:N32" si="34">M28-L28</f>
        <v>-38508.802999999985</v>
      </c>
      <c r="O28" s="252">
        <f t="shared" ref="O28:O29" si="35">M28/L28*100-100</f>
        <v>-22.261954870822592</v>
      </c>
      <c r="P28" s="283">
        <v>158185.10999999999</v>
      </c>
      <c r="Q28" s="283">
        <f>4703056.5/1000+114196592.75/1000</f>
        <v>118899.64925</v>
      </c>
      <c r="R28" s="252">
        <f t="shared" ref="R28:R32" si="36">Q28-P28</f>
        <v>-39285.460749999984</v>
      </c>
      <c r="S28" s="252">
        <f t="shared" ref="S28:S29" si="37">Q28/P28*100-100</f>
        <v>-24.835119278925802</v>
      </c>
      <c r="T28" s="283">
        <v>104050.62</v>
      </c>
      <c r="U28" s="283">
        <f>121480392.5/1000</f>
        <v>121480.3925</v>
      </c>
      <c r="V28" s="252">
        <f t="shared" ref="V28:V32" si="38">U28-T28</f>
        <v>17429.772500000006</v>
      </c>
      <c r="W28" s="252">
        <f t="shared" ref="W28:W29" si="39">U28/T28*100-100</f>
        <v>16.751243289083732</v>
      </c>
      <c r="X28" s="283">
        <f>D28+H28+L28+P28+T28</f>
        <v>795032.61499999999</v>
      </c>
      <c r="Y28" s="283">
        <f>E28+I28+M28+Q28+U28</f>
        <v>616882.74650000001</v>
      </c>
      <c r="Z28" s="21">
        <f>Y28-X28</f>
        <v>-178149.86849999998</v>
      </c>
      <c r="AA28" s="21">
        <f>Y28/X28*100-100</f>
        <v>-22.40786920420868</v>
      </c>
      <c r="AB28" s="53"/>
      <c r="AC28" s="9"/>
      <c r="AD28" s="53">
        <f>X28+AB28</f>
        <v>795032.61499999999</v>
      </c>
      <c r="AE28" s="9">
        <f>E29+I28+M28+Q28+U28+AC28</f>
        <v>403840.44001000002</v>
      </c>
      <c r="AF28" s="21">
        <f>AE28-AD28</f>
        <v>-391192.17498999997</v>
      </c>
      <c r="AG28" s="54">
        <f>AE28/AD28*100-100</f>
        <v>-49.204544267658754</v>
      </c>
      <c r="AH28" s="242"/>
      <c r="AI28" s="83"/>
      <c r="AJ28" s="83"/>
    </row>
    <row r="29" spans="1:38">
      <c r="A29" s="302" t="s">
        <v>70</v>
      </c>
      <c r="B29" s="171" t="s">
        <v>170</v>
      </c>
      <c r="C29" s="256" t="s">
        <v>140</v>
      </c>
      <c r="D29" s="283">
        <v>27144.584999999999</v>
      </c>
      <c r="E29" s="283">
        <f>7204249.03/1000+12352207.23/1000</f>
        <v>19556.456259999999</v>
      </c>
      <c r="F29" s="252">
        <f t="shared" si="9"/>
        <v>-7588.1287400000001</v>
      </c>
      <c r="G29" s="252">
        <f t="shared" si="14"/>
        <v>-27.954484255331224</v>
      </c>
      <c r="H29" s="283">
        <v>3619.73</v>
      </c>
      <c r="I29" s="283">
        <f>298568.27/1000+490790.37/1000</f>
        <v>789.35864000000004</v>
      </c>
      <c r="J29" s="252">
        <f t="shared" si="32"/>
        <v>-2830.3713600000001</v>
      </c>
      <c r="K29" s="252">
        <f t="shared" si="33"/>
        <v>-78.192886209744927</v>
      </c>
      <c r="L29" s="283">
        <v>14789.82</v>
      </c>
      <c r="M29" s="283">
        <f>140689.57/1000+230747.39/1000+4019689.08/1000+6938007.27/1000</f>
        <v>11329.133309999999</v>
      </c>
      <c r="N29" s="252">
        <f t="shared" si="34"/>
        <v>-3460.6866900000005</v>
      </c>
      <c r="O29" s="252">
        <f t="shared" si="35"/>
        <v>-23.399112970948948</v>
      </c>
      <c r="P29" s="283">
        <v>13524.83</v>
      </c>
      <c r="Q29" s="283">
        <f>131098/1000+268845/1000+3530958.83/1000+6111748.02/1000</f>
        <v>10042.64985</v>
      </c>
      <c r="R29" s="252">
        <f t="shared" si="36"/>
        <v>-3482.1801500000001</v>
      </c>
      <c r="S29" s="252">
        <f t="shared" si="37"/>
        <v>-25.746572415327961</v>
      </c>
      <c r="T29" s="283">
        <v>8896.33</v>
      </c>
      <c r="U29" s="283">
        <f>3794288.05/1000+6430419.54/1000</f>
        <v>10224.70759</v>
      </c>
      <c r="V29" s="252">
        <f t="shared" si="38"/>
        <v>1328.3775900000001</v>
      </c>
      <c r="W29" s="252">
        <f t="shared" si="39"/>
        <v>14.931748147831755</v>
      </c>
      <c r="X29" s="283">
        <f>D29+H29+L29+P29+T29</f>
        <v>67975.294999999998</v>
      </c>
      <c r="Y29" s="283">
        <f t="shared" ref="Y29:Y31" si="40">E29+I29+M29+Q29+U29</f>
        <v>51942.305649999995</v>
      </c>
      <c r="Z29" s="21">
        <f>Y29-X29</f>
        <v>-16032.989350000003</v>
      </c>
      <c r="AA29" s="21">
        <f>Y29/X29*100-100</f>
        <v>-23.586494696345198</v>
      </c>
      <c r="AB29" s="53"/>
      <c r="AC29" s="9"/>
      <c r="AD29" s="53">
        <f>X29+AB29</f>
        <v>67975.294999999998</v>
      </c>
      <c r="AE29" s="9">
        <f>E31+I29+M29+Q29+U29+AC29</f>
        <v>38994.812089999999</v>
      </c>
      <c r="AF29" s="21">
        <f>AE29-AD29</f>
        <v>-28980.482909999999</v>
      </c>
      <c r="AG29" s="54">
        <f>AE29/AD29*100-100</f>
        <v>-42.633846473192946</v>
      </c>
      <c r="AH29" s="242"/>
      <c r="AI29" s="83"/>
      <c r="AJ29" s="83"/>
    </row>
    <row r="30" spans="1:38">
      <c r="A30" s="302" t="s">
        <v>179</v>
      </c>
      <c r="B30" s="251" t="s">
        <v>177</v>
      </c>
      <c r="C30" s="256"/>
      <c r="D30" s="283"/>
      <c r="E30" s="283">
        <f>836983.27/1000</f>
        <v>836.98327000000006</v>
      </c>
      <c r="F30" s="252">
        <f t="shared" si="9"/>
        <v>836.98327000000006</v>
      </c>
      <c r="G30" s="252"/>
      <c r="H30" s="283"/>
      <c r="I30" s="283"/>
      <c r="J30" s="252">
        <f t="shared" si="32"/>
        <v>0</v>
      </c>
      <c r="K30" s="252"/>
      <c r="L30" s="283"/>
      <c r="M30" s="283">
        <f>11586/1000+1113179.11/1000</f>
        <v>1124.76511</v>
      </c>
      <c r="N30" s="252">
        <f t="shared" si="34"/>
        <v>1124.76511</v>
      </c>
      <c r="O30" s="252"/>
      <c r="P30" s="283"/>
      <c r="Q30" s="283">
        <f>236597.62/1000</f>
        <v>236.59762000000001</v>
      </c>
      <c r="R30" s="252">
        <f t="shared" si="36"/>
        <v>236.59762000000001</v>
      </c>
      <c r="S30" s="252"/>
      <c r="T30" s="283"/>
      <c r="U30" s="283">
        <f>389643/1000</f>
        <v>389.64299999999997</v>
      </c>
      <c r="V30" s="252">
        <f t="shared" si="38"/>
        <v>389.64299999999997</v>
      </c>
      <c r="W30" s="252"/>
      <c r="X30" s="283"/>
      <c r="Y30" s="283">
        <f t="shared" si="40"/>
        <v>2587.989</v>
      </c>
      <c r="Z30" s="247"/>
      <c r="AA30" s="247"/>
      <c r="AB30" s="249"/>
      <c r="AC30" s="250"/>
      <c r="AD30" s="249"/>
      <c r="AE30" s="250"/>
      <c r="AF30" s="247"/>
      <c r="AG30" s="248"/>
      <c r="AH30" s="242"/>
      <c r="AI30" s="83"/>
      <c r="AJ30" s="83"/>
    </row>
    <row r="31" spans="1:38">
      <c r="A31" s="302" t="s">
        <v>180</v>
      </c>
      <c r="B31" s="171" t="s">
        <v>169</v>
      </c>
      <c r="C31" s="256"/>
      <c r="D31" s="283"/>
      <c r="E31" s="283">
        <f>6608962.7/1000</f>
        <v>6608.9627</v>
      </c>
      <c r="F31" s="252">
        <f t="shared" si="9"/>
        <v>6608.9627</v>
      </c>
      <c r="G31" s="252"/>
      <c r="H31" s="283"/>
      <c r="I31" s="283">
        <f>282976.68/1000</f>
        <v>282.97667999999999</v>
      </c>
      <c r="J31" s="252">
        <f t="shared" si="32"/>
        <v>282.97667999999999</v>
      </c>
      <c r="K31" s="252"/>
      <c r="L31" s="283"/>
      <c r="M31" s="283">
        <f>132043.95/1000+3607807.72/1000</f>
        <v>3739.8516700000005</v>
      </c>
      <c r="N31" s="252">
        <f t="shared" si="34"/>
        <v>3739.8516700000005</v>
      </c>
      <c r="O31" s="252"/>
      <c r="P31" s="283"/>
      <c r="Q31" s="283">
        <f>124181/1000+3193187.61/1000</f>
        <v>3317.36861</v>
      </c>
      <c r="R31" s="252">
        <f t="shared" si="36"/>
        <v>3317.36861</v>
      </c>
      <c r="S31" s="252"/>
      <c r="T31" s="283"/>
      <c r="U31" s="283">
        <f>3440840.47/1000</f>
        <v>3440.8404700000001</v>
      </c>
      <c r="V31" s="252">
        <f t="shared" si="38"/>
        <v>3440.8404700000001</v>
      </c>
      <c r="W31" s="252"/>
      <c r="X31" s="283"/>
      <c r="Y31" s="283">
        <f t="shared" si="40"/>
        <v>17390.00013</v>
      </c>
      <c r="Z31" s="92"/>
      <c r="AA31" s="92"/>
      <c r="AB31" s="91"/>
      <c r="AC31" s="86"/>
      <c r="AD31" s="91"/>
      <c r="AE31" s="9" t="e">
        <f>#REF!+I31+M31+Q31+U31+AC31</f>
        <v>#REF!</v>
      </c>
      <c r="AF31" s="92"/>
      <c r="AG31" s="93"/>
      <c r="AH31" s="242"/>
      <c r="AI31" s="83"/>
      <c r="AJ31" s="84"/>
    </row>
    <row r="32" spans="1:38">
      <c r="A32" s="157">
        <v>3</v>
      </c>
      <c r="B32" s="169" t="s">
        <v>8</v>
      </c>
      <c r="C32" s="257" t="s">
        <v>140</v>
      </c>
      <c r="D32" s="280">
        <v>108964.47</v>
      </c>
      <c r="E32" s="280">
        <f>3315654/1000*E81</f>
        <v>1502.6543927999999</v>
      </c>
      <c r="F32" s="280">
        <f t="shared" si="9"/>
        <v>-107461.8156072</v>
      </c>
      <c r="G32" s="280">
        <f t="shared" ref="G32:G33" si="41">E32/D32*100-100</f>
        <v>-98.620968474586263</v>
      </c>
      <c r="H32" s="280">
        <v>138.41999999999999</v>
      </c>
      <c r="I32" s="280">
        <f>3315654/1000*I81+2838362.04/1000</f>
        <v>2848.6405673999998</v>
      </c>
      <c r="J32" s="280">
        <f t="shared" si="32"/>
        <v>2710.2205673999997</v>
      </c>
      <c r="K32" s="280">
        <f t="shared" ref="K32" si="42">I32/H32*100-100</f>
        <v>1957.9689115734718</v>
      </c>
      <c r="L32" s="280">
        <v>24226.44</v>
      </c>
      <c r="M32" s="280">
        <f>3315654/1000*M81+5841614.1/1000+13041574.73/1000</f>
        <v>19408.719989000001</v>
      </c>
      <c r="N32" s="280">
        <f t="shared" si="34"/>
        <v>-4817.7200109999976</v>
      </c>
      <c r="O32" s="280">
        <f t="shared" ref="O32:O34" si="43">M32/L32*100-100</f>
        <v>-19.886207015970967</v>
      </c>
      <c r="P32" s="280">
        <v>98178.38</v>
      </c>
      <c r="Q32" s="280">
        <f>3315654/1000*Q81+5530566.9/1000+55929678.04/1000</f>
        <v>62149.900972000003</v>
      </c>
      <c r="R32" s="280">
        <f t="shared" si="36"/>
        <v>-36028.479028000002</v>
      </c>
      <c r="S32" s="280">
        <f t="shared" ref="S32:S34" si="44">Q32/P32*100-100</f>
        <v>-36.696958157182877</v>
      </c>
      <c r="T32" s="280">
        <v>0</v>
      </c>
      <c r="U32" s="280">
        <f>3315654/1000*U81+23946134.3/1000</f>
        <v>24533.668188800002</v>
      </c>
      <c r="V32" s="280">
        <f t="shared" si="38"/>
        <v>24533.668188800002</v>
      </c>
      <c r="W32" s="280" t="e">
        <f t="shared" ref="W32:W34" si="45">U32/T32*100-100</f>
        <v>#DIV/0!</v>
      </c>
      <c r="X32" s="280">
        <f>D32+H32+L32+P32+T32</f>
        <v>231507.71</v>
      </c>
      <c r="Y32" s="280">
        <f>E32+I32+M32+Q32+U32</f>
        <v>110443.58411000001</v>
      </c>
      <c r="Z32" s="31">
        <f>Y32-X32</f>
        <v>-121064.12588999998</v>
      </c>
      <c r="AA32" s="31">
        <f>Y32/X32*100-100</f>
        <v>-52.29377712301676</v>
      </c>
      <c r="AB32" s="44"/>
      <c r="AC32" s="11"/>
      <c r="AD32" s="44">
        <f>X32+AB32</f>
        <v>231507.71</v>
      </c>
      <c r="AE32" s="11">
        <f>E32+I32+M32+Q32+U32+AC32</f>
        <v>110443.58411000001</v>
      </c>
      <c r="AF32" s="31">
        <f>AE32-AD32</f>
        <v>-121064.12588999998</v>
      </c>
      <c r="AG32" s="61">
        <f>AE32/AD32*100-100</f>
        <v>-52.29377712301676</v>
      </c>
      <c r="AH32" s="242"/>
      <c r="AI32" s="83"/>
    </row>
    <row r="33" spans="1:36">
      <c r="A33" s="157">
        <v>4</v>
      </c>
      <c r="B33" s="169" t="s">
        <v>145</v>
      </c>
      <c r="C33" s="257"/>
      <c r="D33" s="280">
        <f>D34</f>
        <v>285896.01</v>
      </c>
      <c r="E33" s="280">
        <f t="shared" ref="E33:Y33" si="46">E34</f>
        <v>12130.976499999999</v>
      </c>
      <c r="F33" s="280">
        <f t="shared" si="46"/>
        <v>-273765.03350000002</v>
      </c>
      <c r="G33" s="280">
        <f t="shared" si="41"/>
        <v>-95.756857012450084</v>
      </c>
      <c r="H33" s="280">
        <f>H34</f>
        <v>0</v>
      </c>
      <c r="I33" s="280">
        <f t="shared" si="46"/>
        <v>0</v>
      </c>
      <c r="J33" s="280">
        <f t="shared" si="46"/>
        <v>0</v>
      </c>
      <c r="K33" s="280"/>
      <c r="L33" s="280">
        <f t="shared" si="46"/>
        <v>111843.65</v>
      </c>
      <c r="M33" s="280">
        <f t="shared" si="46"/>
        <v>6664.0820999999996</v>
      </c>
      <c r="N33" s="280">
        <f t="shared" si="46"/>
        <v>-105179.56789999999</v>
      </c>
      <c r="O33" s="280">
        <f t="shared" si="43"/>
        <v>-94.041608888837231</v>
      </c>
      <c r="P33" s="280">
        <f t="shared" si="46"/>
        <v>91582.84</v>
      </c>
      <c r="Q33" s="280">
        <f t="shared" si="46"/>
        <v>3590.4955599999998</v>
      </c>
      <c r="R33" s="280">
        <f t="shared" si="46"/>
        <v>-87992.344440000001</v>
      </c>
      <c r="S33" s="280">
        <f t="shared" si="44"/>
        <v>-96.079510572067875</v>
      </c>
      <c r="T33" s="280">
        <f t="shared" si="46"/>
        <v>91169.44</v>
      </c>
      <c r="U33" s="280">
        <f t="shared" si="46"/>
        <v>4123.6717600000002</v>
      </c>
      <c r="V33" s="280">
        <f t="shared" si="46"/>
        <v>-87045.768240000005</v>
      </c>
      <c r="W33" s="280">
        <f t="shared" si="45"/>
        <v>-95.476914457300609</v>
      </c>
      <c r="X33" s="280">
        <f t="shared" si="46"/>
        <v>580491.93999999994</v>
      </c>
      <c r="Y33" s="280">
        <f t="shared" si="46"/>
        <v>26509.225919999997</v>
      </c>
      <c r="Z33" s="31">
        <f>Y33-X33</f>
        <v>-553982.71407999995</v>
      </c>
      <c r="AA33" s="31">
        <f>Y33/X33*100-100</f>
        <v>-95.433317141319833</v>
      </c>
      <c r="AB33" s="44"/>
      <c r="AC33" s="11"/>
      <c r="AD33" s="44">
        <f>AD35+AD34</f>
        <v>580491.93999999994</v>
      </c>
      <c r="AE33" s="11">
        <f>AE35+AE34</f>
        <v>26509.225919999997</v>
      </c>
      <c r="AF33" s="31">
        <f>AE33-AD33</f>
        <v>-553982.71407999995</v>
      </c>
      <c r="AG33" s="61">
        <f>AE33/AD33*100-100</f>
        <v>-95.433317141319833</v>
      </c>
      <c r="AH33" s="242">
        <v>0</v>
      </c>
    </row>
    <row r="34" spans="1:36" s="3" customFormat="1" ht="31.5" customHeight="1">
      <c r="A34" s="158" t="s">
        <v>71</v>
      </c>
      <c r="B34" s="170" t="s">
        <v>146</v>
      </c>
      <c r="C34" s="258" t="s">
        <v>140</v>
      </c>
      <c r="D34" s="283">
        <v>285896.01</v>
      </c>
      <c r="E34" s="283">
        <f>4025687.82/1000+434160.71/1000+2186800/1000+5401505/1000+2572.54/1000+80250.43/1000</f>
        <v>12130.976499999999</v>
      </c>
      <c r="F34" s="252">
        <f t="shared" si="9"/>
        <v>-273765.03350000002</v>
      </c>
      <c r="G34" s="252">
        <f t="shared" si="14"/>
        <v>-95.756857012450084</v>
      </c>
      <c r="H34" s="283"/>
      <c r="I34" s="283"/>
      <c r="J34" s="252"/>
      <c r="K34" s="252"/>
      <c r="L34" s="283">
        <v>111843.65</v>
      </c>
      <c r="M34" s="283">
        <f>4716347.52/1000+1883304/1000+64430.58/1000</f>
        <v>6664.0820999999996</v>
      </c>
      <c r="N34" s="252">
        <f t="shared" ref="N34" si="47">M34-L34</f>
        <v>-105179.56789999999</v>
      </c>
      <c r="O34" s="252">
        <f t="shared" si="43"/>
        <v>-94.041608888837231</v>
      </c>
      <c r="P34" s="283">
        <v>91582.84</v>
      </c>
      <c r="Q34" s="283">
        <f>110495.56/1000+580000/1000+2900000/1000</f>
        <v>3590.4955599999998</v>
      </c>
      <c r="R34" s="252">
        <f t="shared" ref="R34" si="48">Q34-P34</f>
        <v>-87992.344440000001</v>
      </c>
      <c r="S34" s="252">
        <f t="shared" si="44"/>
        <v>-96.079510572067875</v>
      </c>
      <c r="T34" s="283">
        <v>91169.44</v>
      </c>
      <c r="U34" s="283">
        <f>422800/1000+480877.76/1000+3219994/1000</f>
        <v>4123.6717600000002</v>
      </c>
      <c r="V34" s="252">
        <f t="shared" ref="V34" si="49">U34-T34</f>
        <v>-87045.768240000005</v>
      </c>
      <c r="W34" s="252">
        <f t="shared" si="45"/>
        <v>-95.476914457300609</v>
      </c>
      <c r="X34" s="283">
        <f>D34+H34+L34+P34+T34</f>
        <v>580491.93999999994</v>
      </c>
      <c r="Y34" s="284">
        <f>E34+I34+M34+Q34+U34</f>
        <v>26509.225919999997</v>
      </c>
      <c r="Z34" s="21">
        <f>Y34-X34</f>
        <v>-553982.71407999995</v>
      </c>
      <c r="AA34" s="21">
        <f>Y34/X34*100-100</f>
        <v>-95.433317141319833</v>
      </c>
      <c r="AB34" s="53"/>
      <c r="AC34" s="9"/>
      <c r="AD34" s="53">
        <f>X34+AB34</f>
        <v>580491.93999999994</v>
      </c>
      <c r="AE34" s="9">
        <f>E34+I34+M34+Q34+U34+AC34</f>
        <v>26509.225919999997</v>
      </c>
      <c r="AF34" s="21">
        <f>AE34-AD34</f>
        <v>-553982.71407999995</v>
      </c>
      <c r="AG34" s="54">
        <f>AE34/AD34*100-100</f>
        <v>-95.433317141319833</v>
      </c>
      <c r="AH34" s="242"/>
      <c r="AI34"/>
      <c r="AJ34" s="96"/>
    </row>
    <row r="35" spans="1:36">
      <c r="A35" s="302"/>
      <c r="B35" s="171"/>
      <c r="C35" s="259"/>
      <c r="D35" s="283"/>
      <c r="E35" s="283"/>
      <c r="F35" s="252"/>
      <c r="G35" s="252"/>
      <c r="H35" s="283"/>
      <c r="I35" s="283"/>
      <c r="J35" s="252"/>
      <c r="K35" s="252"/>
      <c r="L35" s="283"/>
      <c r="M35" s="283"/>
      <c r="N35" s="252"/>
      <c r="O35" s="252"/>
      <c r="P35" s="283"/>
      <c r="Q35" s="283"/>
      <c r="R35" s="252"/>
      <c r="S35" s="252"/>
      <c r="T35" s="283"/>
      <c r="U35" s="283"/>
      <c r="V35" s="252"/>
      <c r="W35" s="252"/>
      <c r="X35" s="283"/>
      <c r="Y35" s="283"/>
      <c r="Z35" s="21"/>
      <c r="AA35" s="21"/>
      <c r="AB35" s="53"/>
      <c r="AC35" s="9"/>
      <c r="AD35" s="53"/>
      <c r="AE35" s="9"/>
      <c r="AF35" s="21"/>
      <c r="AG35" s="54"/>
      <c r="AH35" s="242"/>
    </row>
    <row r="36" spans="1:36">
      <c r="A36" s="157" t="s">
        <v>147</v>
      </c>
      <c r="B36" s="169" t="s">
        <v>9</v>
      </c>
      <c r="C36" s="257" t="s">
        <v>140</v>
      </c>
      <c r="D36" s="280">
        <f>SUM(D37:D46)</f>
        <v>344971.76</v>
      </c>
      <c r="E36" s="280">
        <f t="shared" ref="E36:Y36" si="50">SUM(E37:E46)</f>
        <v>189529.52190232402</v>
      </c>
      <c r="F36" s="280">
        <f>SUM(F37:F46)</f>
        <v>-155442.23809767599</v>
      </c>
      <c r="G36" s="280">
        <f>E36/D36*100-100</f>
        <v>-45.059409528964331</v>
      </c>
      <c r="H36" s="280">
        <f t="shared" si="50"/>
        <v>1038522.9</v>
      </c>
      <c r="I36" s="280">
        <f t="shared" si="50"/>
        <v>719975.21251126705</v>
      </c>
      <c r="J36" s="280">
        <f>SUM(J37:J46)</f>
        <v>-318547.68748873292</v>
      </c>
      <c r="K36" s="280">
        <f>I36/H36*100-100</f>
        <v>-30.673150056559464</v>
      </c>
      <c r="L36" s="280">
        <f t="shared" si="50"/>
        <v>561572.05000000005</v>
      </c>
      <c r="M36" s="280">
        <f t="shared" si="50"/>
        <v>357322.98450284498</v>
      </c>
      <c r="N36" s="280">
        <f>SUM(N37:N46)</f>
        <v>-204249.06549715501</v>
      </c>
      <c r="O36" s="280">
        <f>M36/L36*100-100</f>
        <v>-36.370945722308477</v>
      </c>
      <c r="P36" s="280">
        <f t="shared" si="50"/>
        <v>32221.910000000003</v>
      </c>
      <c r="Q36" s="280">
        <f t="shared" si="50"/>
        <v>4175.9758485599996</v>
      </c>
      <c r="R36" s="280">
        <f>SUM(R37:R46)</f>
        <v>-28045.93415144</v>
      </c>
      <c r="S36" s="280">
        <f>Q36/P36*100-100</f>
        <v>-87.039949374323243</v>
      </c>
      <c r="T36" s="280">
        <f t="shared" si="50"/>
        <v>328285.65000000002</v>
      </c>
      <c r="U36" s="280">
        <f t="shared" si="50"/>
        <v>113340.99690500401</v>
      </c>
      <c r="V36" s="280">
        <f>SUM(V37:V46)</f>
        <v>-214944.65309499597</v>
      </c>
      <c r="W36" s="280">
        <f>U36/T36*100-100</f>
        <v>-65.474885391730027</v>
      </c>
      <c r="X36" s="280">
        <f t="shared" si="50"/>
        <v>2305574.27</v>
      </c>
      <c r="Y36" s="280">
        <f t="shared" si="50"/>
        <v>1384344.6916700001</v>
      </c>
      <c r="Z36" s="31">
        <f t="shared" ref="Z36:Z44" si="51">Y36-X36</f>
        <v>-921229.57832999993</v>
      </c>
      <c r="AA36" s="31">
        <f t="shared" ref="AA36:AA54" si="52">Y36/X36*100-100</f>
        <v>-39.956621233893273</v>
      </c>
      <c r="AB36" s="44">
        <f>AB44</f>
        <v>256332.14</v>
      </c>
      <c r="AC36" s="11">
        <f>SUM(AC37:AC46)</f>
        <v>704941.21</v>
      </c>
      <c r="AD36" s="44">
        <f>SUM(AD37:AD46)</f>
        <v>2561906.4099999997</v>
      </c>
      <c r="AE36" s="11" t="e">
        <f>SUM(AE37:AE46)</f>
        <v>#REF!</v>
      </c>
      <c r="AF36" s="31" t="e">
        <f t="shared" ref="AF36:AF44" si="53">AE36-AD36</f>
        <v>#REF!</v>
      </c>
      <c r="AG36" s="61" t="e">
        <f t="shared" ref="AG36:AG44" si="54">AE36/AD36*100-100</f>
        <v>#REF!</v>
      </c>
      <c r="AH36" s="242"/>
    </row>
    <row r="37" spans="1:36" s="3" customFormat="1">
      <c r="A37" s="158" t="s">
        <v>115</v>
      </c>
      <c r="B37" s="172" t="s">
        <v>11</v>
      </c>
      <c r="C37" s="258" t="s">
        <v>140</v>
      </c>
      <c r="D37" s="283">
        <v>0</v>
      </c>
      <c r="E37" s="283">
        <f>53571.43/1000</f>
        <v>53.571429999999999</v>
      </c>
      <c r="F37" s="252">
        <f t="shared" si="9"/>
        <v>53.571429999999999</v>
      </c>
      <c r="G37" s="252"/>
      <c r="H37" s="283">
        <v>0</v>
      </c>
      <c r="I37" s="283"/>
      <c r="J37" s="252">
        <f t="shared" ref="J37:J46" si="55">I37-H37</f>
        <v>0</v>
      </c>
      <c r="K37" s="252"/>
      <c r="L37" s="283"/>
      <c r="M37" s="283"/>
      <c r="N37" s="252">
        <f t="shared" ref="N37:N46" si="56">M37-L37</f>
        <v>0</v>
      </c>
      <c r="O37" s="252"/>
      <c r="P37" s="283">
        <v>0</v>
      </c>
      <c r="Q37" s="283"/>
      <c r="R37" s="252">
        <f t="shared" ref="R37:R46" si="57">Q37-P37</f>
        <v>0</v>
      </c>
      <c r="S37" s="252"/>
      <c r="T37" s="283">
        <v>17021.87</v>
      </c>
      <c r="U37" s="283"/>
      <c r="V37" s="252">
        <f t="shared" ref="V37:V46" si="58">U37-T37</f>
        <v>-17021.87</v>
      </c>
      <c r="W37" s="252">
        <f t="shared" ref="W37:W50" si="59">U37/T37*100-100</f>
        <v>-100</v>
      </c>
      <c r="X37" s="283">
        <f t="shared" ref="X37:Y46" si="60">D37+H37+L37+P37+T37</f>
        <v>17021.87</v>
      </c>
      <c r="Y37" s="286">
        <f>E37+I37+M37+Q37+U37</f>
        <v>53.571429999999999</v>
      </c>
      <c r="Z37" s="41">
        <f t="shared" si="51"/>
        <v>-16968.298569999999</v>
      </c>
      <c r="AA37" s="41">
        <f t="shared" si="52"/>
        <v>-99.685278820717116</v>
      </c>
      <c r="AB37" s="67"/>
      <c r="AC37" s="12"/>
      <c r="AD37" s="53">
        <f t="shared" ref="AD37:AD42" si="61">X37+AB37</f>
        <v>17021.87</v>
      </c>
      <c r="AE37" s="9" t="e">
        <f>#REF!+I37+M37+Q37+U37+AC37</f>
        <v>#REF!</v>
      </c>
      <c r="AF37" s="21" t="e">
        <f t="shared" si="53"/>
        <v>#REF!</v>
      </c>
      <c r="AG37" s="54" t="e">
        <f t="shared" si="54"/>
        <v>#REF!</v>
      </c>
      <c r="AH37" s="242"/>
      <c r="AI37"/>
    </row>
    <row r="38" spans="1:36" s="3" customFormat="1">
      <c r="A38" s="158" t="s">
        <v>116</v>
      </c>
      <c r="B38" s="172" t="s">
        <v>12</v>
      </c>
      <c r="C38" s="258" t="s">
        <v>140</v>
      </c>
      <c r="D38" s="283">
        <v>5291.9849999999997</v>
      </c>
      <c r="E38" s="283">
        <f>2370000/1000*E81</f>
        <v>1074.0840000000001</v>
      </c>
      <c r="F38" s="252">
        <f t="shared" si="9"/>
        <v>-4217.9009999999998</v>
      </c>
      <c r="G38" s="252">
        <f t="shared" si="14"/>
        <v>-79.703570588352008</v>
      </c>
      <c r="H38" s="283">
        <v>27.16</v>
      </c>
      <c r="I38" s="283">
        <f>2370000/1000*I81</f>
        <v>7.3469999999999995</v>
      </c>
      <c r="J38" s="252">
        <f t="shared" si="55"/>
        <v>-19.813000000000002</v>
      </c>
      <c r="K38" s="252">
        <f t="shared" ref="K38:K50" si="62">I38/H38*100-100</f>
        <v>-72.949189985272454</v>
      </c>
      <c r="L38" s="283">
        <v>2156.5100000000002</v>
      </c>
      <c r="M38" s="283">
        <f>2370000/1000*M81</f>
        <v>375.64499999999998</v>
      </c>
      <c r="N38" s="252">
        <f t="shared" si="56"/>
        <v>-1780.8650000000002</v>
      </c>
      <c r="O38" s="252">
        <f t="shared" ref="O38:O44" si="63">M38/L38*100-100</f>
        <v>-82.580883000774406</v>
      </c>
      <c r="P38" s="283">
        <v>2830</v>
      </c>
      <c r="Q38" s="283">
        <f>2370000/1000*Q81</f>
        <v>492.96</v>
      </c>
      <c r="R38" s="252">
        <f t="shared" si="57"/>
        <v>-2337.04</v>
      </c>
      <c r="S38" s="252">
        <f t="shared" ref="S38:S45" si="64">Q38/P38*100-100</f>
        <v>-82.58091872791519</v>
      </c>
      <c r="T38" s="283">
        <v>163.91</v>
      </c>
      <c r="U38" s="283">
        <f>2370000/1000*U81</f>
        <v>419.964</v>
      </c>
      <c r="V38" s="252">
        <f t="shared" si="58"/>
        <v>256.05399999999997</v>
      </c>
      <c r="W38" s="252">
        <f t="shared" si="59"/>
        <v>156.2162162162162</v>
      </c>
      <c r="X38" s="283">
        <f t="shared" si="60"/>
        <v>10469.564999999999</v>
      </c>
      <c r="Y38" s="286">
        <f t="shared" si="60"/>
        <v>2370</v>
      </c>
      <c r="Z38" s="41">
        <f t="shared" si="51"/>
        <v>-8099.5649999999987</v>
      </c>
      <c r="AA38" s="131">
        <f>Y38/X38*100-100</f>
        <v>-77.362956340592945</v>
      </c>
      <c r="AB38" s="67"/>
      <c r="AC38" s="12"/>
      <c r="AD38" s="53">
        <f t="shared" si="61"/>
        <v>10469.564999999999</v>
      </c>
      <c r="AE38" s="9">
        <f t="shared" ref="AE38:AE46" si="65">E38+I38+M38+Q38+U38+AC38</f>
        <v>2370</v>
      </c>
      <c r="AF38" s="21">
        <f t="shared" si="53"/>
        <v>-8099.5649999999987</v>
      </c>
      <c r="AG38" s="54">
        <f t="shared" si="54"/>
        <v>-77.362956340592945</v>
      </c>
      <c r="AH38" s="242">
        <v>2370</v>
      </c>
      <c r="AI38" s="96">
        <f>Y38-AH38</f>
        <v>0</v>
      </c>
    </row>
    <row r="39" spans="1:36" s="3" customFormat="1">
      <c r="A39" s="158" t="s">
        <v>72</v>
      </c>
      <c r="B39" s="172" t="s">
        <v>13</v>
      </c>
      <c r="C39" s="258" t="s">
        <v>140</v>
      </c>
      <c r="D39" s="283">
        <v>5187.8850000000002</v>
      </c>
      <c r="E39" s="283">
        <f>5341535.13/1000</f>
        <v>5341.5351300000002</v>
      </c>
      <c r="F39" s="252">
        <f t="shared" si="9"/>
        <v>153.65012999999999</v>
      </c>
      <c r="G39" s="252">
        <f t="shared" si="14"/>
        <v>2.9617104079986376</v>
      </c>
      <c r="H39" s="283">
        <v>35.83</v>
      </c>
      <c r="I39" s="283">
        <f>31077.97/1000</f>
        <v>31.077970000000001</v>
      </c>
      <c r="J39" s="252">
        <f t="shared" si="55"/>
        <v>-4.7520299999999978</v>
      </c>
      <c r="K39" s="252">
        <f t="shared" si="62"/>
        <v>-13.262712810493994</v>
      </c>
      <c r="L39" s="283">
        <v>2751.9</v>
      </c>
      <c r="M39" s="283">
        <f>1588986.14/1000</f>
        <v>1588.98614</v>
      </c>
      <c r="N39" s="252">
        <f t="shared" si="56"/>
        <v>-1162.9138600000001</v>
      </c>
      <c r="O39" s="252">
        <f t="shared" si="63"/>
        <v>-42.258579890257643</v>
      </c>
      <c r="P39" s="283">
        <v>2403.92</v>
      </c>
      <c r="Q39" s="283">
        <f>2085231.03/1000</f>
        <v>2085.2310299999999</v>
      </c>
      <c r="R39" s="252">
        <f t="shared" si="57"/>
        <v>-318.68897000000015</v>
      </c>
      <c r="S39" s="252">
        <f t="shared" si="64"/>
        <v>-13.257053895304338</v>
      </c>
      <c r="T39" s="283">
        <v>2946.57</v>
      </c>
      <c r="U39" s="283">
        <f>1776456.43/1000</f>
        <v>1776.45643</v>
      </c>
      <c r="V39" s="252">
        <f t="shared" si="58"/>
        <v>-1170.1135700000002</v>
      </c>
      <c r="W39" s="252">
        <f t="shared" si="59"/>
        <v>-39.711039276175356</v>
      </c>
      <c r="X39" s="283">
        <f t="shared" si="60"/>
        <v>13326.105</v>
      </c>
      <c r="Y39" s="286">
        <f t="shared" si="60"/>
        <v>10823.286700000001</v>
      </c>
      <c r="Z39" s="41">
        <f t="shared" si="51"/>
        <v>-2502.818299999999</v>
      </c>
      <c r="AA39" s="131">
        <f t="shared" ref="AA39" si="66">Y39/X39*100-100</f>
        <v>-18.78131907260223</v>
      </c>
      <c r="AB39" s="67"/>
      <c r="AC39" s="12"/>
      <c r="AD39" s="53">
        <f t="shared" si="61"/>
        <v>13326.105</v>
      </c>
      <c r="AE39" s="9" t="e">
        <f>#REF!+I39+M39+Q39+U39+AC39</f>
        <v>#REF!</v>
      </c>
      <c r="AF39" s="21" t="e">
        <f t="shared" si="53"/>
        <v>#REF!</v>
      </c>
      <c r="AG39" s="54" t="e">
        <f t="shared" si="54"/>
        <v>#REF!</v>
      </c>
      <c r="AH39" s="242"/>
      <c r="AI39" s="96"/>
    </row>
    <row r="40" spans="1:36" s="3" customFormat="1" ht="15" customHeight="1">
      <c r="A40" s="158" t="s">
        <v>73</v>
      </c>
      <c r="B40" s="172" t="s">
        <v>14</v>
      </c>
      <c r="C40" s="258" t="s">
        <v>140</v>
      </c>
      <c r="D40" s="283">
        <v>53450.51</v>
      </c>
      <c r="E40" s="283">
        <f>30541.45/1000*E81+30300/1000+14979.21/1000+39398.73/1000+2642189.16/1000</f>
        <v>2740.7084851400004</v>
      </c>
      <c r="F40" s="252">
        <f t="shared" si="9"/>
        <v>-50709.801514860002</v>
      </c>
      <c r="G40" s="252">
        <f t="shared" si="14"/>
        <v>-94.872437166380635</v>
      </c>
      <c r="H40" s="283">
        <v>9.7899999999999991</v>
      </c>
      <c r="I40" s="283">
        <f>30541.45/1000*I81+102.46/1000+269.5/1000+84378.47/1000</f>
        <v>84.845108495000005</v>
      </c>
      <c r="J40" s="252">
        <f t="shared" si="55"/>
        <v>75.055108495000013</v>
      </c>
      <c r="K40" s="252">
        <f t="shared" si="62"/>
        <v>766.65075071501542</v>
      </c>
      <c r="L40" s="283">
        <v>18693.52</v>
      </c>
      <c r="M40" s="283">
        <f>30541.45/1000*M81+5238.76/1000+13779.12/1000+991906.28/1000</f>
        <v>1015.7649798250001</v>
      </c>
      <c r="N40" s="252">
        <f t="shared" si="56"/>
        <v>-17677.755020175002</v>
      </c>
      <c r="O40" s="252">
        <f t="shared" si="63"/>
        <v>-94.566218776212295</v>
      </c>
      <c r="P40" s="283">
        <v>24531.56</v>
      </c>
      <c r="Q40" s="283">
        <f>30541.45/1000*Q81+6874.84/1000+18082.38/1000+1402528.52/1000</f>
        <v>1433.8383616000001</v>
      </c>
      <c r="R40" s="252">
        <f t="shared" si="57"/>
        <v>-23097.721638400002</v>
      </c>
      <c r="S40" s="252">
        <f t="shared" si="64"/>
        <v>-94.155127673902513</v>
      </c>
      <c r="T40" s="283">
        <v>8047.71</v>
      </c>
      <c r="U40" s="283">
        <f>30541.45/1000*U81+5856.83/1000+15404.8/1000+942266.93/1000</f>
        <v>968.94050493999998</v>
      </c>
      <c r="V40" s="252">
        <f t="shared" si="58"/>
        <v>-7078.7694950599998</v>
      </c>
      <c r="W40" s="252">
        <f t="shared" si="59"/>
        <v>-87.960046958203023</v>
      </c>
      <c r="X40" s="283">
        <f t="shared" si="60"/>
        <v>104733.09000000001</v>
      </c>
      <c r="Y40" s="286">
        <f t="shared" si="60"/>
        <v>6244.0974400000005</v>
      </c>
      <c r="Z40" s="41">
        <f t="shared" si="51"/>
        <v>-98488.992560000013</v>
      </c>
      <c r="AA40" s="131">
        <f>Y40/X40*100-100</f>
        <v>-94.03808534628358</v>
      </c>
      <c r="AB40" s="67"/>
      <c r="AC40" s="12"/>
      <c r="AD40" s="53">
        <f t="shared" si="61"/>
        <v>104733.09000000001</v>
      </c>
      <c r="AE40" s="9">
        <f t="shared" si="65"/>
        <v>6244.0974400000005</v>
      </c>
      <c r="AF40" s="21">
        <f t="shared" si="53"/>
        <v>-98488.992560000013</v>
      </c>
      <c r="AG40" s="54">
        <f t="shared" si="54"/>
        <v>-94.03808534628358</v>
      </c>
      <c r="AH40" s="242">
        <v>20.622259999999997</v>
      </c>
      <c r="AI40" s="96">
        <f t="shared" ref="AI40:AI41" si="67">Y40-AH40</f>
        <v>6223.4751800000004</v>
      </c>
    </row>
    <row r="41" spans="1:36" s="3" customFormat="1">
      <c r="A41" s="158" t="s">
        <v>74</v>
      </c>
      <c r="B41" s="172" t="s">
        <v>15</v>
      </c>
      <c r="C41" s="258" t="s">
        <v>140</v>
      </c>
      <c r="D41" s="283">
        <v>760.24</v>
      </c>
      <c r="E41" s="283">
        <f>(333246.43/1000+454957.69/1000)*E81+34/1000</f>
        <v>357.24810718399999</v>
      </c>
      <c r="F41" s="252">
        <f t="shared" si="9"/>
        <v>-402.99189281600002</v>
      </c>
      <c r="G41" s="252">
        <f t="shared" si="14"/>
        <v>-53.008509525413025</v>
      </c>
      <c r="H41" s="283">
        <v>8.51</v>
      </c>
      <c r="I41" s="283">
        <f>(333246.43/1000+454957.69/1000)*I81</f>
        <v>2.443432772</v>
      </c>
      <c r="J41" s="252">
        <f t="shared" si="55"/>
        <v>-6.0665672280000003</v>
      </c>
      <c r="K41" s="252">
        <f t="shared" si="62"/>
        <v>-71.287511492361929</v>
      </c>
      <c r="L41" s="283">
        <v>265.88</v>
      </c>
      <c r="M41" s="283">
        <f>(333246.43/1000+454957.69/1000)*M81</f>
        <v>124.93035302</v>
      </c>
      <c r="N41" s="252">
        <f t="shared" si="56"/>
        <v>-140.94964698000001</v>
      </c>
      <c r="O41" s="252">
        <f t="shared" si="63"/>
        <v>-53.012504505792087</v>
      </c>
      <c r="P41" s="283">
        <v>348.92</v>
      </c>
      <c r="Q41" s="283">
        <f>(333246.43/1000+454957.69/1000)*Q81</f>
        <v>163.94645695999998</v>
      </c>
      <c r="R41" s="252">
        <f t="shared" si="57"/>
        <v>-184.97354304000004</v>
      </c>
      <c r="S41" s="252">
        <f t="shared" si="64"/>
        <v>-53.013167213114762</v>
      </c>
      <c r="T41" s="283">
        <v>105.59</v>
      </c>
      <c r="U41" s="283">
        <f>(333246.43/1000+454957.69/1000)*U81</f>
        <v>139.66977006400001</v>
      </c>
      <c r="V41" s="252">
        <f t="shared" si="58"/>
        <v>34.079770064000002</v>
      </c>
      <c r="W41" s="252">
        <f t="shared" si="59"/>
        <v>32.275565928591732</v>
      </c>
      <c r="X41" s="283">
        <f t="shared" si="60"/>
        <v>1489.14</v>
      </c>
      <c r="Y41" s="286">
        <f t="shared" si="60"/>
        <v>788.23811999999998</v>
      </c>
      <c r="Z41" s="41">
        <f t="shared" si="51"/>
        <v>-700.90188000000012</v>
      </c>
      <c r="AA41" s="131">
        <f>Y41/X41*100-100</f>
        <v>-47.06756114267295</v>
      </c>
      <c r="AB41" s="67"/>
      <c r="AC41" s="12"/>
      <c r="AD41" s="53">
        <f t="shared" si="61"/>
        <v>1489.14</v>
      </c>
      <c r="AE41" s="9">
        <f t="shared" si="65"/>
        <v>788.23811999999998</v>
      </c>
      <c r="AF41" s="21">
        <f t="shared" si="53"/>
        <v>-700.90188000000012</v>
      </c>
      <c r="AG41" s="54">
        <f t="shared" si="54"/>
        <v>-47.06756114267295</v>
      </c>
      <c r="AH41" s="242">
        <v>788.20411999999999</v>
      </c>
      <c r="AI41" s="96">
        <f t="shared" si="67"/>
        <v>3.3999999999991815E-2</v>
      </c>
    </row>
    <row r="42" spans="1:36" s="3" customFormat="1" ht="47.25" hidden="1">
      <c r="A42" s="158" t="s">
        <v>117</v>
      </c>
      <c r="B42" s="172" t="s">
        <v>118</v>
      </c>
      <c r="C42" s="258" t="s">
        <v>140</v>
      </c>
      <c r="D42" s="283">
        <v>280281.14</v>
      </c>
      <c r="E42" s="283">
        <f>899811873.75/1000*0.2</f>
        <v>179962.37475000002</v>
      </c>
      <c r="F42" s="252">
        <f t="shared" si="9"/>
        <v>-100318.76525</v>
      </c>
      <c r="G42" s="252">
        <f t="shared" si="14"/>
        <v>-35.792192528544732</v>
      </c>
      <c r="H42" s="283"/>
      <c r="I42" s="283"/>
      <c r="J42" s="252">
        <f t="shared" si="55"/>
        <v>0</v>
      </c>
      <c r="K42" s="252" t="e">
        <f t="shared" si="62"/>
        <v>#DIV/0!</v>
      </c>
      <c r="L42" s="283"/>
      <c r="M42" s="283"/>
      <c r="N42" s="252">
        <f t="shared" si="56"/>
        <v>0</v>
      </c>
      <c r="O42" s="252" t="e">
        <f t="shared" si="63"/>
        <v>#DIV/0!</v>
      </c>
      <c r="P42" s="283"/>
      <c r="Q42" s="283"/>
      <c r="R42" s="252">
        <f t="shared" si="57"/>
        <v>0</v>
      </c>
      <c r="S42" s="252" t="e">
        <f t="shared" si="64"/>
        <v>#DIV/0!</v>
      </c>
      <c r="T42" s="283"/>
      <c r="U42" s="283"/>
      <c r="V42" s="252">
        <f t="shared" si="58"/>
        <v>0</v>
      </c>
      <c r="W42" s="252" t="e">
        <f t="shared" si="59"/>
        <v>#DIV/0!</v>
      </c>
      <c r="X42" s="283">
        <f t="shared" si="60"/>
        <v>280281.14</v>
      </c>
      <c r="Y42" s="286">
        <f t="shared" si="60"/>
        <v>179962.37475000002</v>
      </c>
      <c r="Z42" s="41">
        <f t="shared" si="51"/>
        <v>-100318.76525</v>
      </c>
      <c r="AA42" s="41">
        <f t="shared" si="52"/>
        <v>-35.792192528544732</v>
      </c>
      <c r="AB42" s="67"/>
      <c r="AC42" s="12"/>
      <c r="AD42" s="53">
        <f t="shared" si="61"/>
        <v>280281.14</v>
      </c>
      <c r="AE42" s="9">
        <f t="shared" si="65"/>
        <v>179962.37475000002</v>
      </c>
      <c r="AF42" s="21">
        <f t="shared" si="53"/>
        <v>-100318.76525</v>
      </c>
      <c r="AG42" s="54">
        <f t="shared" si="54"/>
        <v>-35.792192528544732</v>
      </c>
      <c r="AH42" s="242"/>
    </row>
    <row r="43" spans="1:36" s="3" customFormat="1" hidden="1">
      <c r="A43" s="158" t="s">
        <v>123</v>
      </c>
      <c r="B43" s="172" t="s">
        <v>10</v>
      </c>
      <c r="C43" s="258" t="s">
        <v>140</v>
      </c>
      <c r="D43" s="283"/>
      <c r="E43" s="287"/>
      <c r="F43" s="288">
        <f t="shared" si="9"/>
        <v>0</v>
      </c>
      <c r="G43" s="288"/>
      <c r="H43" s="283">
        <v>1038441.61</v>
      </c>
      <c r="I43" s="283">
        <f>899811873.75/1000-E42</f>
        <v>719849.49900000007</v>
      </c>
      <c r="J43" s="288">
        <f t="shared" si="55"/>
        <v>-318592.11099999992</v>
      </c>
      <c r="K43" s="252">
        <f t="shared" si="62"/>
        <v>-30.679829075801379</v>
      </c>
      <c r="L43" s="283"/>
      <c r="M43" s="287"/>
      <c r="N43" s="288">
        <f t="shared" si="56"/>
        <v>0</v>
      </c>
      <c r="O43" s="252" t="e">
        <f t="shared" si="63"/>
        <v>#DIV/0!</v>
      </c>
      <c r="P43" s="283"/>
      <c r="Q43" s="287"/>
      <c r="R43" s="288">
        <f t="shared" si="57"/>
        <v>0</v>
      </c>
      <c r="S43" s="252" t="e">
        <f t="shared" si="64"/>
        <v>#DIV/0!</v>
      </c>
      <c r="T43" s="283"/>
      <c r="U43" s="287"/>
      <c r="V43" s="288">
        <f t="shared" si="58"/>
        <v>0</v>
      </c>
      <c r="W43" s="252" t="e">
        <f t="shared" si="59"/>
        <v>#DIV/0!</v>
      </c>
      <c r="X43" s="283">
        <f t="shared" si="60"/>
        <v>1038441.61</v>
      </c>
      <c r="Y43" s="286">
        <f t="shared" si="60"/>
        <v>719849.49900000007</v>
      </c>
      <c r="Z43" s="41">
        <f t="shared" si="51"/>
        <v>-318592.11099999992</v>
      </c>
      <c r="AA43" s="131">
        <f t="shared" si="52"/>
        <v>-30.679829075801379</v>
      </c>
      <c r="AB43" s="67"/>
      <c r="AC43" s="12"/>
      <c r="AD43" s="53">
        <f>X43+AB43</f>
        <v>1038441.61</v>
      </c>
      <c r="AE43" s="9">
        <f t="shared" si="65"/>
        <v>719849.49900000007</v>
      </c>
      <c r="AF43" s="21">
        <f t="shared" si="53"/>
        <v>-318592.11099999992</v>
      </c>
      <c r="AG43" s="54">
        <f t="shared" si="54"/>
        <v>-30.679829075801379</v>
      </c>
      <c r="AH43" s="242"/>
    </row>
    <row r="44" spans="1:36" s="3" customFormat="1" hidden="1">
      <c r="A44" s="158" t="s">
        <v>75</v>
      </c>
      <c r="B44" s="172" t="s">
        <v>119</v>
      </c>
      <c r="C44" s="258" t="s">
        <v>140</v>
      </c>
      <c r="D44" s="283"/>
      <c r="E44" s="283"/>
      <c r="F44" s="252">
        <f t="shared" si="9"/>
        <v>0</v>
      </c>
      <c r="G44" s="252"/>
      <c r="H44" s="283"/>
      <c r="I44" s="283"/>
      <c r="J44" s="252">
        <f t="shared" si="55"/>
        <v>0</v>
      </c>
      <c r="K44" s="252" t="e">
        <f t="shared" si="62"/>
        <v>#DIV/0!</v>
      </c>
      <c r="L44" s="283">
        <v>537704.24</v>
      </c>
      <c r="M44" s="283">
        <f>354217658.03/1000</f>
        <v>354217.65802999999</v>
      </c>
      <c r="N44" s="252">
        <f t="shared" si="56"/>
        <v>-183486.58197</v>
      </c>
      <c r="O44" s="252">
        <f t="shared" si="63"/>
        <v>-34.124071993555418</v>
      </c>
      <c r="P44" s="283"/>
      <c r="Q44" s="283"/>
      <c r="R44" s="252">
        <f t="shared" si="57"/>
        <v>0</v>
      </c>
      <c r="S44" s="252" t="e">
        <f t="shared" si="64"/>
        <v>#DIV/0!</v>
      </c>
      <c r="T44" s="283"/>
      <c r="U44" s="283"/>
      <c r="V44" s="252">
        <f t="shared" si="58"/>
        <v>0</v>
      </c>
      <c r="W44" s="252" t="e">
        <f t="shared" si="59"/>
        <v>#DIV/0!</v>
      </c>
      <c r="X44" s="283">
        <f t="shared" si="60"/>
        <v>537704.24</v>
      </c>
      <c r="Y44" s="286">
        <f t="shared" si="60"/>
        <v>354217.65802999999</v>
      </c>
      <c r="Z44" s="41">
        <f t="shared" si="51"/>
        <v>-183486.58197</v>
      </c>
      <c r="AA44" s="131">
        <f>Y44/X44*100-100</f>
        <v>-34.124071993555418</v>
      </c>
      <c r="AB44" s="53">
        <v>256332.14</v>
      </c>
      <c r="AC44" s="9">
        <v>704941.21</v>
      </c>
      <c r="AD44" s="53">
        <f>X44+AB44</f>
        <v>794036.38</v>
      </c>
      <c r="AE44" s="9">
        <f t="shared" si="65"/>
        <v>1059158.86803</v>
      </c>
      <c r="AF44" s="21">
        <f t="shared" si="53"/>
        <v>265122.48803000001</v>
      </c>
      <c r="AG44" s="54">
        <f t="shared" si="54"/>
        <v>33.389211717226345</v>
      </c>
      <c r="AH44" s="242"/>
    </row>
    <row r="45" spans="1:36" s="3" customFormat="1" hidden="1">
      <c r="A45" s="158" t="s">
        <v>148</v>
      </c>
      <c r="B45" s="172" t="s">
        <v>121</v>
      </c>
      <c r="C45" s="258" t="s">
        <v>140</v>
      </c>
      <c r="D45" s="283"/>
      <c r="E45" s="283"/>
      <c r="F45" s="252">
        <f t="shared" si="9"/>
        <v>0</v>
      </c>
      <c r="G45" s="252"/>
      <c r="H45" s="283"/>
      <c r="I45" s="283"/>
      <c r="J45" s="252">
        <f t="shared" si="55"/>
        <v>0</v>
      </c>
      <c r="K45" s="252" t="e">
        <f t="shared" si="62"/>
        <v>#DIV/0!</v>
      </c>
      <c r="L45" s="283"/>
      <c r="M45" s="283"/>
      <c r="N45" s="252">
        <f t="shared" si="56"/>
        <v>0</v>
      </c>
      <c r="O45" s="252"/>
      <c r="P45" s="283">
        <v>2107.5100000000002</v>
      </c>
      <c r="Q45" s="283"/>
      <c r="R45" s="252">
        <f t="shared" si="57"/>
        <v>-2107.5100000000002</v>
      </c>
      <c r="S45" s="252">
        <f t="shared" si="64"/>
        <v>-100</v>
      </c>
      <c r="T45" s="283"/>
      <c r="U45" s="283"/>
      <c r="V45" s="252">
        <f t="shared" si="58"/>
        <v>0</v>
      </c>
      <c r="W45" s="252" t="e">
        <f t="shared" si="59"/>
        <v>#DIV/0!</v>
      </c>
      <c r="X45" s="283">
        <f t="shared" si="60"/>
        <v>2107.5100000000002</v>
      </c>
      <c r="Y45" s="286">
        <f t="shared" si="60"/>
        <v>0</v>
      </c>
      <c r="Z45" s="41"/>
      <c r="AA45" s="131"/>
      <c r="AB45" s="67"/>
      <c r="AC45" s="12"/>
      <c r="AD45" s="53">
        <f>X45+AB45</f>
        <v>2107.5100000000002</v>
      </c>
      <c r="AE45" s="9">
        <f t="shared" si="65"/>
        <v>0</v>
      </c>
      <c r="AF45" s="21"/>
      <c r="AG45" s="54"/>
      <c r="AH45" s="242"/>
    </row>
    <row r="46" spans="1:36" s="3" customFormat="1" ht="47.25">
      <c r="A46" s="158" t="s">
        <v>149</v>
      </c>
      <c r="B46" s="172" t="s">
        <v>122</v>
      </c>
      <c r="C46" s="258" t="s">
        <v>140</v>
      </c>
      <c r="D46" s="283"/>
      <c r="E46" s="283"/>
      <c r="F46" s="252">
        <f t="shared" si="9"/>
        <v>0</v>
      </c>
      <c r="G46" s="252"/>
      <c r="H46" s="283"/>
      <c r="I46" s="283"/>
      <c r="J46" s="252">
        <f t="shared" si="55"/>
        <v>0</v>
      </c>
      <c r="K46" s="252" t="e">
        <f t="shared" si="62"/>
        <v>#DIV/0!</v>
      </c>
      <c r="L46" s="283"/>
      <c r="M46" s="283"/>
      <c r="N46" s="252">
        <f t="shared" si="56"/>
        <v>0</v>
      </c>
      <c r="O46" s="252"/>
      <c r="P46" s="283"/>
      <c r="Q46" s="283"/>
      <c r="R46" s="252">
        <f t="shared" si="57"/>
        <v>0</v>
      </c>
      <c r="S46" s="252"/>
      <c r="T46" s="283">
        <v>300000</v>
      </c>
      <c r="U46" s="283">
        <f>110035966.2/1000</f>
        <v>110035.96620000001</v>
      </c>
      <c r="V46" s="252">
        <f t="shared" si="58"/>
        <v>-189964.03379999998</v>
      </c>
      <c r="W46" s="252">
        <f t="shared" si="59"/>
        <v>-63.321344599999996</v>
      </c>
      <c r="X46" s="283">
        <f t="shared" si="60"/>
        <v>300000</v>
      </c>
      <c r="Y46" s="286">
        <f t="shared" si="60"/>
        <v>110035.96620000001</v>
      </c>
      <c r="Z46" s="41">
        <f>Y46-X46</f>
        <v>-189964.03379999998</v>
      </c>
      <c r="AA46" s="131">
        <f t="shared" si="52"/>
        <v>-63.321344599999996</v>
      </c>
      <c r="AB46" s="67"/>
      <c r="AC46" s="12"/>
      <c r="AD46" s="53">
        <f>X46+AB46</f>
        <v>300000</v>
      </c>
      <c r="AE46" s="9">
        <f t="shared" si="65"/>
        <v>110035.96620000001</v>
      </c>
      <c r="AF46" s="21">
        <f>AE46-AD46</f>
        <v>-189964.03379999998</v>
      </c>
      <c r="AG46" s="54">
        <f>AE46/AD46*100-100</f>
        <v>-63.321344599999996</v>
      </c>
      <c r="AH46" s="242"/>
    </row>
    <row r="47" spans="1:36">
      <c r="A47" s="159" t="s">
        <v>16</v>
      </c>
      <c r="B47" s="173" t="s">
        <v>150</v>
      </c>
      <c r="C47" s="260" t="s">
        <v>140</v>
      </c>
      <c r="D47" s="277">
        <f>D48+D82</f>
        <v>99164.5</v>
      </c>
      <c r="E47" s="277">
        <f t="shared" ref="E47:AG47" si="68">E48+E82</f>
        <v>47923.028589143993</v>
      </c>
      <c r="F47" s="277">
        <f t="shared" si="68"/>
        <v>-51241.471410856</v>
      </c>
      <c r="G47" s="277">
        <f t="shared" si="14"/>
        <v>-51.67320100525491</v>
      </c>
      <c r="H47" s="277">
        <f t="shared" si="68"/>
        <v>2913.5000000000005</v>
      </c>
      <c r="I47" s="277">
        <f t="shared" si="68"/>
        <v>325.41127170199996</v>
      </c>
      <c r="J47" s="277">
        <f t="shared" si="68"/>
        <v>-2402.2887282980005</v>
      </c>
      <c r="K47" s="277">
        <f t="shared" si="62"/>
        <v>-88.830915678668276</v>
      </c>
      <c r="L47" s="277">
        <f t="shared" si="68"/>
        <v>59126.51</v>
      </c>
      <c r="M47" s="277">
        <f t="shared" si="68"/>
        <v>19905.53291057</v>
      </c>
      <c r="N47" s="277">
        <f t="shared" si="68"/>
        <v>-39220.977089430002</v>
      </c>
      <c r="O47" s="277">
        <f t="shared" ref="O47:O50" si="69">M47/L47*100-100</f>
        <v>-66.333996526143693</v>
      </c>
      <c r="P47" s="277">
        <f t="shared" si="68"/>
        <v>51845.74</v>
      </c>
      <c r="Q47" s="277">
        <f t="shared" si="68"/>
        <v>21852.078789359999</v>
      </c>
      <c r="R47" s="277">
        <f t="shared" si="68"/>
        <v>-29993.661210640006</v>
      </c>
      <c r="S47" s="277">
        <f t="shared" ref="S47:S50" si="70">Q47/P47*100-100</f>
        <v>-57.85173711599063</v>
      </c>
      <c r="T47" s="277">
        <f t="shared" si="68"/>
        <v>30139.040000000001</v>
      </c>
      <c r="U47" s="277">
        <f t="shared" si="68"/>
        <v>18761.642899223996</v>
      </c>
      <c r="V47" s="277">
        <f t="shared" si="68"/>
        <v>-11377.397100776003</v>
      </c>
      <c r="W47" s="277">
        <f t="shared" si="59"/>
        <v>-37.749699727582573</v>
      </c>
      <c r="X47" s="277">
        <f t="shared" si="68"/>
        <v>214810.1653919493</v>
      </c>
      <c r="Y47" s="277">
        <f t="shared" si="68"/>
        <v>108767.69445999997</v>
      </c>
      <c r="Z47" s="277">
        <f t="shared" si="68"/>
        <v>-106042.47093194933</v>
      </c>
      <c r="AA47" s="277">
        <f t="shared" si="68"/>
        <v>-49.365667001122105</v>
      </c>
      <c r="AB47" s="277">
        <f t="shared" si="68"/>
        <v>0</v>
      </c>
      <c r="AC47" s="277">
        <f t="shared" si="68"/>
        <v>0</v>
      </c>
      <c r="AD47" s="277">
        <f t="shared" si="68"/>
        <v>214810.1653919493</v>
      </c>
      <c r="AE47" s="277">
        <f t="shared" si="68"/>
        <v>108767.69445999997</v>
      </c>
      <c r="AF47" s="277">
        <f t="shared" si="68"/>
        <v>-106042.47093194933</v>
      </c>
      <c r="AG47" s="277">
        <f t="shared" si="68"/>
        <v>-49.365667001122105</v>
      </c>
      <c r="AH47" s="242"/>
    </row>
    <row r="48" spans="1:36" ht="31.5">
      <c r="A48" s="157" t="s">
        <v>151</v>
      </c>
      <c r="B48" s="169" t="s">
        <v>17</v>
      </c>
      <c r="C48" s="257" t="s">
        <v>140</v>
      </c>
      <c r="D48" s="280">
        <f>SUM(D49:D53)</f>
        <v>99164.5</v>
      </c>
      <c r="E48" s="280">
        <f t="shared" ref="E48:Y48" si="71">SUM(E49:E53)</f>
        <v>47923.028589143993</v>
      </c>
      <c r="F48" s="280">
        <f t="shared" si="71"/>
        <v>-51241.471410856</v>
      </c>
      <c r="G48" s="280">
        <f t="shared" si="14"/>
        <v>-51.67320100525491</v>
      </c>
      <c r="H48" s="280">
        <f t="shared" si="71"/>
        <v>2913.5000000000005</v>
      </c>
      <c r="I48" s="280">
        <f t="shared" si="71"/>
        <v>325.41127170199996</v>
      </c>
      <c r="J48" s="280">
        <f t="shared" si="71"/>
        <v>-2402.2887282980005</v>
      </c>
      <c r="K48" s="280">
        <f t="shared" si="62"/>
        <v>-88.830915678668276</v>
      </c>
      <c r="L48" s="280">
        <f t="shared" si="71"/>
        <v>59126.51</v>
      </c>
      <c r="M48" s="280">
        <f t="shared" si="71"/>
        <v>19905.53291057</v>
      </c>
      <c r="N48" s="280">
        <f t="shared" si="71"/>
        <v>-39220.977089430002</v>
      </c>
      <c r="O48" s="280">
        <f t="shared" si="69"/>
        <v>-66.333996526143693</v>
      </c>
      <c r="P48" s="280">
        <f t="shared" si="71"/>
        <v>51845.74</v>
      </c>
      <c r="Q48" s="280">
        <f t="shared" si="71"/>
        <v>21852.078789359999</v>
      </c>
      <c r="R48" s="280">
        <f t="shared" si="71"/>
        <v>-29993.661210640006</v>
      </c>
      <c r="S48" s="280">
        <f t="shared" si="70"/>
        <v>-57.85173711599063</v>
      </c>
      <c r="T48" s="280">
        <f t="shared" si="71"/>
        <v>30139.040000000001</v>
      </c>
      <c r="U48" s="280">
        <f t="shared" si="71"/>
        <v>18761.642899223996</v>
      </c>
      <c r="V48" s="280">
        <f t="shared" si="71"/>
        <v>-11377.397100776003</v>
      </c>
      <c r="W48" s="280">
        <f t="shared" si="59"/>
        <v>-37.749699727582573</v>
      </c>
      <c r="X48" s="280">
        <f t="shared" si="71"/>
        <v>214810.1653919493</v>
      </c>
      <c r="Y48" s="280">
        <f t="shared" si="71"/>
        <v>108767.69445999997</v>
      </c>
      <c r="Z48" s="31">
        <f>Y48-X48</f>
        <v>-106042.47093194933</v>
      </c>
      <c r="AA48" s="131">
        <f t="shared" si="52"/>
        <v>-49.365667001122105</v>
      </c>
      <c r="AB48" s="44"/>
      <c r="AC48" s="11"/>
      <c r="AD48" s="44">
        <f>SUM(AD49:AD53)</f>
        <v>214810.1653919493</v>
      </c>
      <c r="AE48" s="11">
        <f>SUM(AE49:AE53)</f>
        <v>108767.69445999997</v>
      </c>
      <c r="AF48" s="31">
        <f>AE48-AD48</f>
        <v>-106042.47093194933</v>
      </c>
      <c r="AG48" s="61">
        <f>AE48/AD48*100-100</f>
        <v>-49.365667001122105</v>
      </c>
      <c r="AH48" s="242"/>
    </row>
    <row r="49" spans="1:36" s="3" customFormat="1" ht="31.5">
      <c r="A49" s="158" t="s">
        <v>76</v>
      </c>
      <c r="B49" s="170" t="s">
        <v>18</v>
      </c>
      <c r="C49" s="258" t="s">
        <v>140</v>
      </c>
      <c r="D49" s="283">
        <v>26719.24</v>
      </c>
      <c r="E49" s="283">
        <f>(3344750/1000+40013954/1000+23941584/1000+53150/1000+300000/1000)*E81</f>
        <v>30660.538101599996</v>
      </c>
      <c r="F49" s="252">
        <f t="shared" si="9"/>
        <v>3941.298101599994</v>
      </c>
      <c r="G49" s="252">
        <f t="shared" si="14"/>
        <v>14.750786705011038</v>
      </c>
      <c r="H49" s="283">
        <v>2063.88</v>
      </c>
      <c r="I49" s="283">
        <f>(3344750/1000+40013954/1000+23941584/1000+53150/1000+300000/1000)*I81</f>
        <v>209.72565779999996</v>
      </c>
      <c r="J49" s="252">
        <f t="shared" ref="J49:J52" si="72">I49-H49</f>
        <v>-1854.1543422000002</v>
      </c>
      <c r="K49" s="252">
        <f t="shared" si="62"/>
        <v>-89.83828237106809</v>
      </c>
      <c r="L49" s="283">
        <v>18953.52</v>
      </c>
      <c r="M49" s="283">
        <f>(3344750/1000+40013954/1000+23941584/1000+53150/1000+300000/1000)*M81</f>
        <v>10723.069922999999</v>
      </c>
      <c r="N49" s="252">
        <f t="shared" ref="N49:N52" si="73">M49-L49</f>
        <v>-8230.4500770000013</v>
      </c>
      <c r="O49" s="252">
        <f t="shared" si="69"/>
        <v>-43.424388066174522</v>
      </c>
      <c r="P49" s="283">
        <v>19170.43</v>
      </c>
      <c r="Q49" s="283">
        <f>(3344750/1000+40013954/1000+23941584/1000+53150/1000+300000/1000)*Q81</f>
        <v>14071.915103999998</v>
      </c>
      <c r="R49" s="252">
        <f t="shared" ref="R49:R52" si="74">Q49-P49</f>
        <v>-5098.5148960000024</v>
      </c>
      <c r="S49" s="252">
        <f t="shared" si="70"/>
        <v>-26.595725270638184</v>
      </c>
      <c r="T49" s="283">
        <v>20985.93</v>
      </c>
      <c r="U49" s="283">
        <f>(3344750/1000+40013954/1000+23941584/1000+53150/1000+300000/1000)*U81</f>
        <v>11988.189213599999</v>
      </c>
      <c r="V49" s="252">
        <f t="shared" ref="V49:V52" si="75">U49-T49</f>
        <v>-8997.7407864000015</v>
      </c>
      <c r="W49" s="252">
        <f t="shared" si="59"/>
        <v>-42.875111021527289</v>
      </c>
      <c r="X49" s="283">
        <f t="shared" ref="X49:Y52" si="76">D49+H49+L49+P49+T49</f>
        <v>87893</v>
      </c>
      <c r="Y49" s="283">
        <f t="shared" si="76"/>
        <v>67653.437999999995</v>
      </c>
      <c r="Z49" s="41">
        <f>Y49-X49</f>
        <v>-20239.562000000005</v>
      </c>
      <c r="AA49" s="41">
        <f t="shared" si="52"/>
        <v>-23.027501621289531</v>
      </c>
      <c r="AB49" s="53"/>
      <c r="AC49" s="9"/>
      <c r="AD49" s="53">
        <f>X49+AB49</f>
        <v>87893</v>
      </c>
      <c r="AE49" s="9">
        <f>E49+I49+M49+Q49+U49+AC49</f>
        <v>67653.437999999995</v>
      </c>
      <c r="AF49" s="21">
        <f>AE49-AD49</f>
        <v>-20239.562000000005</v>
      </c>
      <c r="AG49" s="54">
        <f>AE49/AD49*100-100</f>
        <v>-23.027501621289531</v>
      </c>
      <c r="AH49" s="242">
        <v>63567.159</v>
      </c>
      <c r="AI49" s="96">
        <f t="shared" ref="AI49:AI78" si="77">Y49-AH49</f>
        <v>4086.278999999995</v>
      </c>
    </row>
    <row r="50" spans="1:36" s="3" customFormat="1">
      <c r="A50" s="158" t="s">
        <v>77</v>
      </c>
      <c r="B50" s="170" t="s">
        <v>171</v>
      </c>
      <c r="C50" s="258" t="s">
        <v>140</v>
      </c>
      <c r="D50" s="283">
        <v>2284.5</v>
      </c>
      <c r="E50" s="283">
        <f>(1752108.17/1000+3605704.18/1000)*E81</f>
        <v>2428.1605570199999</v>
      </c>
      <c r="F50" s="252">
        <f t="shared" si="9"/>
        <v>143.66055701999994</v>
      </c>
      <c r="G50" s="252">
        <f t="shared" si="14"/>
        <v>6.288490130006565</v>
      </c>
      <c r="H50" s="283">
        <v>176.46</v>
      </c>
      <c r="I50" s="283">
        <f>(1752108.17/1000+3605704.18/1000)*I81</f>
        <v>16.609218285000001</v>
      </c>
      <c r="J50" s="252">
        <f t="shared" si="72"/>
        <v>-159.85078171500001</v>
      </c>
      <c r="K50" s="252">
        <f t="shared" si="62"/>
        <v>-90.587544891193474</v>
      </c>
      <c r="L50" s="283">
        <v>1620.53</v>
      </c>
      <c r="M50" s="283">
        <f>(1752108.17/1000+3605704.18/1000)*M81</f>
        <v>849.21325747500009</v>
      </c>
      <c r="N50" s="252">
        <f t="shared" si="73"/>
        <v>-771.31674252499988</v>
      </c>
      <c r="O50" s="252">
        <f t="shared" si="69"/>
        <v>-47.59657288202007</v>
      </c>
      <c r="P50" s="283">
        <v>1639.07</v>
      </c>
      <c r="Q50" s="283">
        <f>(1752108.17/1000+3605704.18/1000)*Q81</f>
        <v>1114.4249688</v>
      </c>
      <c r="R50" s="252">
        <f t="shared" si="74"/>
        <v>-524.64503119999995</v>
      </c>
      <c r="S50" s="252">
        <f t="shared" si="70"/>
        <v>-32.008701959037751</v>
      </c>
      <c r="T50" s="283">
        <v>1794.3</v>
      </c>
      <c r="U50" s="283">
        <f>(1752108.17/1000+3605704.18/1000)*U81</f>
        <v>949.40434842000002</v>
      </c>
      <c r="V50" s="252">
        <f t="shared" si="75"/>
        <v>-844.89565157999994</v>
      </c>
      <c r="W50" s="252">
        <f t="shared" si="59"/>
        <v>-47.08775854539374</v>
      </c>
      <c r="X50" s="283">
        <f t="shared" si="76"/>
        <v>7514.86</v>
      </c>
      <c r="Y50" s="283">
        <f t="shared" si="76"/>
        <v>5357.8123500000002</v>
      </c>
      <c r="Z50" s="41">
        <f>Y50-X50</f>
        <v>-2157.0476499999995</v>
      </c>
      <c r="AA50" s="41">
        <f t="shared" si="52"/>
        <v>-28.703763609701298</v>
      </c>
      <c r="AB50" s="53"/>
      <c r="AC50" s="9"/>
      <c r="AD50" s="53">
        <f>X50+AB50</f>
        <v>7514.86</v>
      </c>
      <c r="AE50" s="9">
        <f>E50+I50+M50+Q50+U50+AC50</f>
        <v>5357.8123500000002</v>
      </c>
      <c r="AF50" s="21">
        <f>AE50-AD50</f>
        <v>-2157.0476499999995</v>
      </c>
      <c r="AG50" s="54">
        <f>AE50/AD50*100-100</f>
        <v>-28.703763609701298</v>
      </c>
      <c r="AH50" s="242">
        <v>5014.9203500000003</v>
      </c>
      <c r="AI50" s="96">
        <f t="shared" si="77"/>
        <v>342.89199999999983</v>
      </c>
    </row>
    <row r="51" spans="1:36" s="3" customFormat="1">
      <c r="A51" s="158"/>
      <c r="B51" s="170" t="s">
        <v>169</v>
      </c>
      <c r="C51" s="258"/>
      <c r="D51" s="283"/>
      <c r="E51" s="283">
        <f>1783664.87/1000*E81</f>
        <v>808.35691908399997</v>
      </c>
      <c r="F51" s="252">
        <f t="shared" si="9"/>
        <v>808.35691908399997</v>
      </c>
      <c r="G51" s="252"/>
      <c r="H51" s="283"/>
      <c r="I51" s="283">
        <f>1783664.87/1000*I81</f>
        <v>5.5293610969999998</v>
      </c>
      <c r="J51" s="252">
        <f t="shared" si="72"/>
        <v>5.5293610969999998</v>
      </c>
      <c r="K51" s="252"/>
      <c r="L51" s="283"/>
      <c r="M51" s="283">
        <f>1783664.87/1000*M81</f>
        <v>282.710881895</v>
      </c>
      <c r="N51" s="252">
        <f t="shared" si="73"/>
        <v>282.710881895</v>
      </c>
      <c r="O51" s="252"/>
      <c r="P51" s="283"/>
      <c r="Q51" s="283">
        <f>1783664.87/1000*Q81</f>
        <v>371.00229295999998</v>
      </c>
      <c r="R51" s="252">
        <f t="shared" si="74"/>
        <v>371.00229295999998</v>
      </c>
      <c r="S51" s="252"/>
      <c r="T51" s="283"/>
      <c r="U51" s="283">
        <f>1783664.87/1000*U81</f>
        <v>316.06541496400001</v>
      </c>
      <c r="V51" s="252">
        <f t="shared" si="75"/>
        <v>316.06541496400001</v>
      </c>
      <c r="W51" s="252"/>
      <c r="X51" s="283">
        <f t="shared" si="76"/>
        <v>0</v>
      </c>
      <c r="Y51" s="283">
        <f t="shared" si="76"/>
        <v>1783.6648699999998</v>
      </c>
      <c r="Z51" s="97"/>
      <c r="AA51" s="41" t="e">
        <f t="shared" si="52"/>
        <v>#DIV/0!</v>
      </c>
      <c r="AB51" s="91"/>
      <c r="AC51" s="86"/>
      <c r="AD51" s="91"/>
      <c r="AE51" s="9">
        <f>E51+I51+M51+Q51+U51+AC51</f>
        <v>1783.6648699999998</v>
      </c>
      <c r="AF51" s="92"/>
      <c r="AG51" s="93"/>
      <c r="AH51" s="242">
        <v>1681.2608700000001</v>
      </c>
      <c r="AI51" s="96">
        <f t="shared" si="77"/>
        <v>102.40399999999977</v>
      </c>
    </row>
    <row r="52" spans="1:36" s="3" customFormat="1">
      <c r="A52" s="158" t="s">
        <v>78</v>
      </c>
      <c r="B52" s="170" t="s">
        <v>19</v>
      </c>
      <c r="C52" s="258" t="s">
        <v>140</v>
      </c>
      <c r="D52" s="283">
        <v>41838.86</v>
      </c>
      <c r="E52" s="283">
        <f>(91890/1000+1496164/1000+261554/1000-17480758.28/1000+25504390/1000)*E81+39652.17/1000</f>
        <v>4514.2044111039995</v>
      </c>
      <c r="F52" s="252">
        <f t="shared" si="9"/>
        <v>-37324.655588895999</v>
      </c>
      <c r="G52" s="252">
        <f t="shared" si="14"/>
        <v>-89.210498538669555</v>
      </c>
      <c r="H52" s="283">
        <v>290.36</v>
      </c>
      <c r="I52" s="283">
        <f>(91890/1000+1496164/1000+261554/1000-17480758.28/1000+25504390/1000)*I81+271.23/1000</f>
        <v>30.87827313199999</v>
      </c>
      <c r="J52" s="252">
        <f t="shared" si="72"/>
        <v>-259.48172686800001</v>
      </c>
      <c r="K52" s="252">
        <f t="shared" ref="K52" si="78">I52/H52*100-100</f>
        <v>-89.365521031822567</v>
      </c>
      <c r="L52" s="283">
        <v>14845.89</v>
      </c>
      <c r="M52" s="283">
        <f>(91890/1000+1496164/1000+261554/1000-17480758.28/1000+25504390/1000)*M81+13867.76/1000</f>
        <v>1578.7762556199998</v>
      </c>
      <c r="N52" s="252">
        <f t="shared" si="73"/>
        <v>-13267.11374438</v>
      </c>
      <c r="O52" s="252">
        <f t="shared" ref="O52" si="79">M52/L52*100-100</f>
        <v>-89.365566795793313</v>
      </c>
      <c r="P52" s="283">
        <v>19482.310000000001</v>
      </c>
      <c r="Q52" s="283">
        <f>(91890/1000+1496164/1000+261554/1000-17480758.28/1000+25504390/1000)*Q81+18198.7/1000</f>
        <v>2071.8325617599994</v>
      </c>
      <c r="R52" s="252">
        <f t="shared" si="74"/>
        <v>-17410.477438240003</v>
      </c>
      <c r="S52" s="252">
        <f t="shared" ref="S52" si="80">Q52/P52*100-100</f>
        <v>-89.365570295514246</v>
      </c>
      <c r="T52" s="283">
        <v>380.75</v>
      </c>
      <c r="U52" s="283">
        <f>(91890/1000+1496164/1000+261554/1000-17480758.28/1000+25504390/1000)*U81+15503.89/1000</f>
        <v>1765.0419683839996</v>
      </c>
      <c r="V52" s="252">
        <f t="shared" si="75"/>
        <v>1384.2919683839996</v>
      </c>
      <c r="W52" s="252">
        <f t="shared" ref="W52" si="81">U52/T52*100-100</f>
        <v>363.56978815075502</v>
      </c>
      <c r="X52" s="283">
        <f t="shared" si="76"/>
        <v>76838.17</v>
      </c>
      <c r="Y52" s="283">
        <f t="shared" si="76"/>
        <v>9960.7334699999974</v>
      </c>
      <c r="Z52" s="97">
        <f>Y52-X52</f>
        <v>-66877.436530000006</v>
      </c>
      <c r="AA52" s="41">
        <f t="shared" si="52"/>
        <v>-87.036737769782917</v>
      </c>
      <c r="AB52" s="91"/>
      <c r="AC52" s="86"/>
      <c r="AD52" s="91">
        <f>X52+AB52</f>
        <v>76838.17</v>
      </c>
      <c r="AE52" s="9">
        <f>E52+I52+M52+Q52+U52+AC52</f>
        <v>9960.7334699999974</v>
      </c>
      <c r="AF52" s="92">
        <f>AE52-AD52</f>
        <v>-66877.436530000006</v>
      </c>
      <c r="AG52" s="93">
        <f>AE52/AD52*100-100</f>
        <v>-87.036737769782917</v>
      </c>
      <c r="AH52" s="242">
        <v>9873.2397199999996</v>
      </c>
      <c r="AI52" s="96">
        <f t="shared" si="77"/>
        <v>87.493749999997817</v>
      </c>
    </row>
    <row r="53" spans="1:36">
      <c r="A53" s="160" t="s">
        <v>79</v>
      </c>
      <c r="B53" s="169" t="s">
        <v>152</v>
      </c>
      <c r="C53" s="258" t="s">
        <v>140</v>
      </c>
      <c r="D53" s="280">
        <f>SUM(D54:D80)</f>
        <v>28321.899999999998</v>
      </c>
      <c r="E53" s="280">
        <f t="shared" ref="E53:Y53" si="82">SUM(E54:E80)</f>
        <v>9511.7686003359995</v>
      </c>
      <c r="F53" s="280">
        <f t="shared" si="82"/>
        <v>-18810.131399663998</v>
      </c>
      <c r="G53" s="280">
        <f>E53/D53*100-100</f>
        <v>-66.415499665149582</v>
      </c>
      <c r="H53" s="280">
        <f t="shared" si="82"/>
        <v>382.80000000000007</v>
      </c>
      <c r="I53" s="280">
        <f t="shared" si="82"/>
        <v>62.668761388000014</v>
      </c>
      <c r="J53" s="280">
        <f t="shared" ref="J53" si="83">SUM(J54:J80)</f>
        <v>-134.33123861200005</v>
      </c>
      <c r="K53" s="280">
        <f>I53/H53*100-100</f>
        <v>-83.628850212121208</v>
      </c>
      <c r="L53" s="280">
        <f t="shared" si="82"/>
        <v>23706.57</v>
      </c>
      <c r="M53" s="280">
        <f t="shared" si="82"/>
        <v>6471.7625925800003</v>
      </c>
      <c r="N53" s="280">
        <f t="shared" ref="N53" si="84">SUM(N54:N80)</f>
        <v>-17234.807407420001</v>
      </c>
      <c r="O53" s="280">
        <f>M53/L53*100-100</f>
        <v>-72.700552662911591</v>
      </c>
      <c r="P53" s="280">
        <f t="shared" si="82"/>
        <v>11553.93</v>
      </c>
      <c r="Q53" s="280">
        <f t="shared" si="82"/>
        <v>4222.9038618399991</v>
      </c>
      <c r="R53" s="280">
        <f t="shared" ref="R53" si="85">SUM(R54:R80)</f>
        <v>-7331.0261381600003</v>
      </c>
      <c r="S53" s="280">
        <f>Q53/P53*100-100</f>
        <v>-63.450498126265273</v>
      </c>
      <c r="T53" s="280">
        <f t="shared" si="82"/>
        <v>6978.0600000000013</v>
      </c>
      <c r="U53" s="280">
        <f t="shared" si="82"/>
        <v>3742.9419538559996</v>
      </c>
      <c r="V53" s="280">
        <f t="shared" ref="V53" si="86">SUM(V54:V80)</f>
        <v>-3235.1180461439999</v>
      </c>
      <c r="W53" s="280">
        <f>U53/T53*100-100</f>
        <v>-46.361281590356072</v>
      </c>
      <c r="X53" s="280">
        <f t="shared" si="82"/>
        <v>42564.135391949283</v>
      </c>
      <c r="Y53" s="280">
        <f t="shared" si="82"/>
        <v>24012.045770000004</v>
      </c>
      <c r="Z53" s="31">
        <f>Y53-X53</f>
        <v>-18552.089621949279</v>
      </c>
      <c r="AA53" s="31">
        <f t="shared" si="52"/>
        <v>-43.586201037830264</v>
      </c>
      <c r="AB53" s="44"/>
      <c r="AC53" s="11"/>
      <c r="AD53" s="44">
        <f>SUM(AD54:AD80)</f>
        <v>42564.135391949283</v>
      </c>
      <c r="AE53" s="11">
        <f>SUM(AE54:AE80)</f>
        <v>24012.045770000004</v>
      </c>
      <c r="AF53" s="31">
        <f>AE53-AD53</f>
        <v>-18552.089621949279</v>
      </c>
      <c r="AG53" s="61">
        <f>AE53/AD53*100-100</f>
        <v>-43.586201037830264</v>
      </c>
      <c r="AH53" s="242"/>
      <c r="AI53" s="96"/>
    </row>
    <row r="54" spans="1:36" s="3" customFormat="1">
      <c r="A54" s="158" t="s">
        <v>80</v>
      </c>
      <c r="B54" s="172" t="s">
        <v>20</v>
      </c>
      <c r="C54" s="261" t="s">
        <v>140</v>
      </c>
      <c r="D54" s="283">
        <v>522.5</v>
      </c>
      <c r="E54" s="283">
        <f>(755322.75/1000+499887.49/1000+304684.28/1000)*E81</f>
        <v>706.94419646400002</v>
      </c>
      <c r="F54" s="252">
        <f>E54-D54</f>
        <v>184.44419646400002</v>
      </c>
      <c r="G54" s="252">
        <f>E54/D54*100-100</f>
        <v>35.30032468210527</v>
      </c>
      <c r="H54" s="283">
        <v>3.61</v>
      </c>
      <c r="I54" s="283">
        <f>(755322.75/1000+499887.49/1000+304684.28/1000)*I81</f>
        <v>4.835673012</v>
      </c>
      <c r="J54" s="252">
        <f>I54-H54</f>
        <v>1.2256730120000001</v>
      </c>
      <c r="K54" s="252">
        <f>I54/H54*100-100</f>
        <v>33.952160997229925</v>
      </c>
      <c r="L54" s="283">
        <v>184.49</v>
      </c>
      <c r="M54" s="283">
        <f>(755322.75/1000+499887.49/1000+304684.28/1000)*M81</f>
        <v>247.24328142000002</v>
      </c>
      <c r="N54" s="252">
        <f>M54-L54</f>
        <v>62.753281420000008</v>
      </c>
      <c r="O54" s="252">
        <f>M54/L54*100-100</f>
        <v>34.014462258116964</v>
      </c>
      <c r="P54" s="283">
        <v>242.11</v>
      </c>
      <c r="Q54" s="283">
        <f>(755322.75/1000+499887.49/1000+304684.28/1000)*Q81</f>
        <v>324.45806016</v>
      </c>
      <c r="R54" s="252">
        <f>Q54-P54</f>
        <v>82.348060159999989</v>
      </c>
      <c r="S54" s="252">
        <f>Q54/P54*100-100</f>
        <v>34.012663731361783</v>
      </c>
      <c r="T54" s="283">
        <v>378.44</v>
      </c>
      <c r="U54" s="283">
        <f>(755322.75/1000+499887.49/1000+304684.28/1000)*U81</f>
        <v>276.41330894399999</v>
      </c>
      <c r="V54" s="252">
        <f>U54-T54</f>
        <v>-102.026691056</v>
      </c>
      <c r="W54" s="252">
        <f>U54/T54*100-100</f>
        <v>-26.959806324912805</v>
      </c>
      <c r="X54" s="283">
        <v>2700.8048642946674</v>
      </c>
      <c r="Y54" s="283">
        <f>E54+I54+M54+Q54+U54</f>
        <v>1559.8945200000001</v>
      </c>
      <c r="Z54" s="41">
        <f>Y54-X54</f>
        <v>-1140.9103442946673</v>
      </c>
      <c r="AA54" s="41">
        <f t="shared" si="52"/>
        <v>-42.243346025393933</v>
      </c>
      <c r="AB54" s="53"/>
      <c r="AC54" s="9"/>
      <c r="AD54" s="53">
        <f>X54+AB54</f>
        <v>2700.8048642946674</v>
      </c>
      <c r="AE54" s="9">
        <f t="shared" ref="AE54:AE80" si="87">E54+I54+M54+Q54+U54+AC54</f>
        <v>1559.8945200000001</v>
      </c>
      <c r="AF54" s="21">
        <f>AE54-AD54</f>
        <v>-1140.9103442946673</v>
      </c>
      <c r="AG54" s="54">
        <f>AE54/AD54*100-100</f>
        <v>-42.243346025393933</v>
      </c>
      <c r="AH54" s="242">
        <v>1339.9641200000001</v>
      </c>
      <c r="AI54" s="96">
        <f t="shared" si="77"/>
        <v>219.93039999999996</v>
      </c>
    </row>
    <row r="55" spans="1:36" s="3" customFormat="1">
      <c r="A55" s="158" t="s">
        <v>81</v>
      </c>
      <c r="B55" s="172" t="s">
        <v>21</v>
      </c>
      <c r="C55" s="261" t="s">
        <v>140</v>
      </c>
      <c r="D55" s="283"/>
      <c r="E55" s="283"/>
      <c r="F55" s="252"/>
      <c r="G55" s="252"/>
      <c r="H55" s="283"/>
      <c r="I55" s="283"/>
      <c r="J55" s="252"/>
      <c r="K55" s="252"/>
      <c r="L55" s="283"/>
      <c r="M55" s="283"/>
      <c r="N55" s="252"/>
      <c r="O55" s="252"/>
      <c r="P55" s="283"/>
      <c r="Q55" s="283"/>
      <c r="R55" s="252"/>
      <c r="S55" s="252"/>
      <c r="T55" s="283"/>
      <c r="U55" s="283"/>
      <c r="V55" s="252"/>
      <c r="W55" s="252"/>
      <c r="X55" s="283"/>
      <c r="Y55" s="283"/>
      <c r="Z55" s="21"/>
      <c r="AA55" s="21"/>
      <c r="AB55" s="53"/>
      <c r="AC55" s="9"/>
      <c r="AD55" s="53"/>
      <c r="AE55" s="9">
        <f t="shared" si="87"/>
        <v>0</v>
      </c>
      <c r="AF55" s="21"/>
      <c r="AG55" s="54"/>
      <c r="AH55" s="242">
        <v>2809.5409599999998</v>
      </c>
      <c r="AI55" s="96">
        <f t="shared" si="77"/>
        <v>-2809.5409599999998</v>
      </c>
    </row>
    <row r="56" spans="1:36" s="3" customFormat="1">
      <c r="A56" s="158" t="s">
        <v>82</v>
      </c>
      <c r="B56" s="172" t="s">
        <v>22</v>
      </c>
      <c r="C56" s="261" t="s">
        <v>140</v>
      </c>
      <c r="D56" s="283">
        <v>168.26</v>
      </c>
      <c r="E56" s="283"/>
      <c r="F56" s="252">
        <f t="shared" ref="F56:F78" si="88">E56-D56</f>
        <v>-168.26</v>
      </c>
      <c r="G56" s="252">
        <f t="shared" ref="G56:G78" si="89">E56/D56*100-100</f>
        <v>-100</v>
      </c>
      <c r="H56" s="283">
        <v>1.1499999999999999</v>
      </c>
      <c r="I56" s="283"/>
      <c r="J56" s="252">
        <f t="shared" ref="J56:J78" si="90">I56-H56</f>
        <v>-1.1499999999999999</v>
      </c>
      <c r="K56" s="252">
        <f t="shared" ref="K56:K58" si="91">I56/H56*100-100</f>
        <v>-100</v>
      </c>
      <c r="L56" s="283">
        <v>58.85</v>
      </c>
      <c r="M56" s="283"/>
      <c r="N56" s="252">
        <f t="shared" ref="N56:N79" si="92">M56-L56</f>
        <v>-58.85</v>
      </c>
      <c r="O56" s="252">
        <f t="shared" ref="O56:O58" si="93">M56/L56*100-100</f>
        <v>-100</v>
      </c>
      <c r="P56" s="283">
        <v>77.22</v>
      </c>
      <c r="Q56" s="283"/>
      <c r="R56" s="252">
        <f t="shared" ref="R56:R78" si="94">Q56-P56</f>
        <v>-77.22</v>
      </c>
      <c r="S56" s="252">
        <f t="shared" ref="S56:S58" si="95">Q56/P56*100-100</f>
        <v>-100</v>
      </c>
      <c r="T56" s="283">
        <v>207.47</v>
      </c>
      <c r="U56" s="283"/>
      <c r="V56" s="252">
        <f t="shared" ref="V56:V78" si="96">U56-T56</f>
        <v>-207.47</v>
      </c>
      <c r="W56" s="252">
        <f t="shared" ref="W56:W64" si="97">U56/T56*100-100</f>
        <v>-100</v>
      </c>
      <c r="X56" s="283">
        <v>30.573602399999999</v>
      </c>
      <c r="Y56" s="283">
        <f t="shared" ref="Y56:Y80" si="98">E56+I56+M56+Q56+U56</f>
        <v>0</v>
      </c>
      <c r="Z56" s="26">
        <v>51.106397600000022</v>
      </c>
      <c r="AA56" s="131">
        <f t="shared" ref="AA56:AA80" si="99">Y56/X56*100-100</f>
        <v>-100</v>
      </c>
      <c r="AB56" s="53"/>
      <c r="AC56" s="9"/>
      <c r="AD56" s="53">
        <f t="shared" ref="AD56:AD80" si="100">X56+AB56</f>
        <v>30.573602399999999</v>
      </c>
      <c r="AE56" s="9">
        <f t="shared" si="87"/>
        <v>0</v>
      </c>
      <c r="AF56" s="21"/>
      <c r="AG56" s="54"/>
      <c r="AH56" s="242"/>
      <c r="AI56" s="96"/>
    </row>
    <row r="57" spans="1:36" s="3" customFormat="1">
      <c r="A57" s="158" t="s">
        <v>153</v>
      </c>
      <c r="B57" s="172" t="s">
        <v>23</v>
      </c>
      <c r="C57" s="261" t="s">
        <v>140</v>
      </c>
      <c r="D57" s="283">
        <v>18.57</v>
      </c>
      <c r="E57" s="283"/>
      <c r="F57" s="252">
        <f t="shared" si="88"/>
        <v>-18.57</v>
      </c>
      <c r="G57" s="252">
        <f t="shared" si="89"/>
        <v>-100</v>
      </c>
      <c r="H57" s="283">
        <v>0.13</v>
      </c>
      <c r="I57" s="283"/>
      <c r="J57" s="252">
        <f t="shared" si="90"/>
        <v>-0.13</v>
      </c>
      <c r="K57" s="252">
        <f t="shared" si="91"/>
        <v>-100</v>
      </c>
      <c r="L57" s="283">
        <v>6.5</v>
      </c>
      <c r="M57" s="283"/>
      <c r="N57" s="252">
        <f t="shared" si="92"/>
        <v>-6.5</v>
      </c>
      <c r="O57" s="252">
        <f t="shared" si="93"/>
        <v>-100</v>
      </c>
      <c r="P57" s="283">
        <v>8.52</v>
      </c>
      <c r="Q57" s="283">
        <f>18032.13/1000</f>
        <v>18.032130000000002</v>
      </c>
      <c r="R57" s="252">
        <f t="shared" si="94"/>
        <v>9.5121300000000026</v>
      </c>
      <c r="S57" s="252">
        <f t="shared" si="95"/>
        <v>111.64471830985917</v>
      </c>
      <c r="T57" s="283">
        <v>2</v>
      </c>
      <c r="U57" s="283"/>
      <c r="V57" s="252">
        <f t="shared" si="96"/>
        <v>-2</v>
      </c>
      <c r="W57" s="252">
        <f t="shared" si="97"/>
        <v>-100</v>
      </c>
      <c r="X57" s="283">
        <v>33.778467930476666</v>
      </c>
      <c r="Y57" s="283">
        <f t="shared" si="98"/>
        <v>18.032130000000002</v>
      </c>
      <c r="Z57" s="26">
        <v>3393.1415320695232</v>
      </c>
      <c r="AA57" s="131">
        <f t="shared" si="99"/>
        <v>-46.616495345158945</v>
      </c>
      <c r="AB57" s="53"/>
      <c r="AC57" s="9"/>
      <c r="AD57" s="53">
        <f t="shared" si="100"/>
        <v>33.778467930476666</v>
      </c>
      <c r="AE57" s="9">
        <f t="shared" si="87"/>
        <v>18.032130000000002</v>
      </c>
      <c r="AF57" s="21">
        <f t="shared" ref="AF57:AF63" si="101">AE57-AD57</f>
        <v>-15.746337930476663</v>
      </c>
      <c r="AG57" s="54">
        <f t="shared" ref="AG57:AG63" si="102">AE57/AD57*100-100</f>
        <v>-46.616495345158945</v>
      </c>
      <c r="AH57" s="242"/>
      <c r="AI57" s="96"/>
    </row>
    <row r="58" spans="1:36" s="3" customFormat="1">
      <c r="A58" s="158" t="s">
        <v>83</v>
      </c>
      <c r="B58" s="172" t="s">
        <v>24</v>
      </c>
      <c r="C58" s="261" t="s">
        <v>140</v>
      </c>
      <c r="D58" s="283">
        <v>1065.77</v>
      </c>
      <c r="E58" s="283">
        <f>(10714.28/1000+90142.86/1000+1852651.34/1000)*E81</f>
        <v>885.33004313600009</v>
      </c>
      <c r="F58" s="252">
        <f t="shared" si="88"/>
        <v>-180.4399568639999</v>
      </c>
      <c r="G58" s="252">
        <f t="shared" si="89"/>
        <v>-16.930478139185752</v>
      </c>
      <c r="H58" s="283">
        <v>7.64</v>
      </c>
      <c r="I58" s="283">
        <f>(10714.28/1000+90142.86/1000+1852651.34/1000)*I81</f>
        <v>6.0558762880000003</v>
      </c>
      <c r="J58" s="252">
        <f t="shared" si="90"/>
        <v>-1.5841237119999994</v>
      </c>
      <c r="K58" s="252">
        <f t="shared" si="91"/>
        <v>-20.734603560209422</v>
      </c>
      <c r="L58" s="283">
        <v>372.74</v>
      </c>
      <c r="M58" s="283">
        <f>(10714.28/1000+90142.86/1000+1852651.34/1000)*M81</f>
        <v>309.63109408000003</v>
      </c>
      <c r="N58" s="252">
        <f t="shared" si="92"/>
        <v>-63.108905919999984</v>
      </c>
      <c r="O58" s="252">
        <f t="shared" si="93"/>
        <v>-16.931079551429946</v>
      </c>
      <c r="P58" s="283">
        <v>512.59</v>
      </c>
      <c r="Q58" s="283">
        <f>(10714.28/1000+90142.86/1000+1852651.34/1000)*Q81</f>
        <v>406.32976384</v>
      </c>
      <c r="R58" s="252">
        <f t="shared" si="94"/>
        <v>-106.26023616000003</v>
      </c>
      <c r="S58" s="252">
        <f t="shared" si="95"/>
        <v>-20.730064215064687</v>
      </c>
      <c r="T58" s="283">
        <v>164.98</v>
      </c>
      <c r="U58" s="283">
        <f>(10714.28/1000+90142.86/1000+1852651.34/1000)*U81</f>
        <v>346.16170265600005</v>
      </c>
      <c r="V58" s="252">
        <f t="shared" si="96"/>
        <v>181.18170265600006</v>
      </c>
      <c r="W58" s="252">
        <f t="shared" si="97"/>
        <v>109.8204040829192</v>
      </c>
      <c r="X58" s="283">
        <v>2308.1666133103577</v>
      </c>
      <c r="Y58" s="283">
        <f>E58+I58+M58+Q58+U58</f>
        <v>1953.5084800000002</v>
      </c>
      <c r="Z58" s="26">
        <v>-1403.8566133103577</v>
      </c>
      <c r="AA58" s="131">
        <f t="shared" si="99"/>
        <v>-15.365361030056192</v>
      </c>
      <c r="AB58" s="53"/>
      <c r="AC58" s="9"/>
      <c r="AD58" s="53">
        <f t="shared" si="100"/>
        <v>2308.1666133103577</v>
      </c>
      <c r="AE58" s="9">
        <f t="shared" si="87"/>
        <v>1953.5084800000002</v>
      </c>
      <c r="AF58" s="21">
        <f t="shared" si="101"/>
        <v>-354.65813331035747</v>
      </c>
      <c r="AG58" s="54">
        <f t="shared" si="102"/>
        <v>-15.365361030056192</v>
      </c>
      <c r="AH58" s="242">
        <v>1770.1242299999999</v>
      </c>
      <c r="AI58" s="96">
        <f t="shared" si="77"/>
        <v>183.38425000000029</v>
      </c>
    </row>
    <row r="59" spans="1:36" s="3" customFormat="1">
      <c r="A59" s="158" t="s">
        <v>84</v>
      </c>
      <c r="B59" s="172" t="s">
        <v>25</v>
      </c>
      <c r="C59" s="261" t="s">
        <v>140</v>
      </c>
      <c r="D59" s="283"/>
      <c r="E59" s="283">
        <f>246740/1000*E81</f>
        <v>111.822568</v>
      </c>
      <c r="F59" s="252">
        <f t="shared" si="88"/>
        <v>111.822568</v>
      </c>
      <c r="G59" s="252"/>
      <c r="H59" s="283">
        <v>0</v>
      </c>
      <c r="I59" s="283">
        <f>246740/1000*I81</f>
        <v>0.76489399999999996</v>
      </c>
      <c r="J59" s="252">
        <f t="shared" si="90"/>
        <v>0.76489399999999996</v>
      </c>
      <c r="K59" s="252"/>
      <c r="L59" s="283"/>
      <c r="M59" s="283">
        <f>246740/1000*M81</f>
        <v>39.108290000000004</v>
      </c>
      <c r="N59" s="252">
        <f t="shared" si="92"/>
        <v>39.108290000000004</v>
      </c>
      <c r="O59" s="252"/>
      <c r="P59" s="283"/>
      <c r="Q59" s="283">
        <f>246740/1000*Q81</f>
        <v>51.321919999999999</v>
      </c>
      <c r="R59" s="252">
        <f t="shared" si="94"/>
        <v>51.321919999999999</v>
      </c>
      <c r="S59" s="252"/>
      <c r="T59" s="283">
        <v>33.89</v>
      </c>
      <c r="U59" s="283">
        <f>246740/1000*U81</f>
        <v>43.722327999999997</v>
      </c>
      <c r="V59" s="252">
        <f t="shared" si="96"/>
        <v>9.8323279999999968</v>
      </c>
      <c r="W59" s="252">
        <f t="shared" si="97"/>
        <v>29.012475656535855</v>
      </c>
      <c r="X59" s="283">
        <v>82.598847300000003</v>
      </c>
      <c r="Y59" s="283">
        <f t="shared" si="98"/>
        <v>246.74</v>
      </c>
      <c r="Z59" s="21">
        <v>148.14115270000002</v>
      </c>
      <c r="AA59" s="131">
        <f t="shared" si="99"/>
        <v>198.72087573309273</v>
      </c>
      <c r="AB59" s="53"/>
      <c r="AC59" s="9"/>
      <c r="AD59" s="53">
        <f t="shared" si="100"/>
        <v>82.598847300000003</v>
      </c>
      <c r="AE59" s="9">
        <f t="shared" si="87"/>
        <v>246.74</v>
      </c>
      <c r="AF59" s="21">
        <f t="shared" si="101"/>
        <v>164.14115270000002</v>
      </c>
      <c r="AG59" s="54">
        <f t="shared" si="102"/>
        <v>198.72087573309273</v>
      </c>
      <c r="AH59" s="242">
        <v>246.74</v>
      </c>
      <c r="AI59" s="96">
        <f t="shared" si="77"/>
        <v>0</v>
      </c>
    </row>
    <row r="60" spans="1:36" s="3" customFormat="1">
      <c r="A60" s="158" t="s">
        <v>154</v>
      </c>
      <c r="B60" s="172" t="s">
        <v>26</v>
      </c>
      <c r="C60" s="261" t="s">
        <v>140</v>
      </c>
      <c r="D60" s="283">
        <v>11080.9</v>
      </c>
      <c r="E60" s="283">
        <f>(4450500/1000+885547.97/1000)*E81</f>
        <v>2418.2969400039997</v>
      </c>
      <c r="F60" s="252">
        <f t="shared" si="88"/>
        <v>-8662.6030599959995</v>
      </c>
      <c r="G60" s="252">
        <f t="shared" si="89"/>
        <v>-78.175988051475969</v>
      </c>
      <c r="H60" s="283">
        <v>80.83</v>
      </c>
      <c r="I60" s="283">
        <f>(4450500/1000+885547.97/1000)*I81</f>
        <v>16.541748707</v>
      </c>
      <c r="J60" s="252">
        <f t="shared" si="90"/>
        <v>-64.288251293000002</v>
      </c>
      <c r="K60" s="252">
        <f t="shared" ref="K60:K63" si="103">I60/H60*100-100</f>
        <v>-79.535137069157486</v>
      </c>
      <c r="L60" s="283">
        <v>4132.5600000000004</v>
      </c>
      <c r="M60" s="283">
        <f>(4450500/1000+885547.97/1000)*M81</f>
        <v>845.7636032449999</v>
      </c>
      <c r="N60" s="252">
        <f t="shared" si="92"/>
        <v>-3286.7963967550004</v>
      </c>
      <c r="O60" s="252">
        <f t="shared" ref="O60:O63" si="104">M60/L60*100-100</f>
        <v>-79.534148246002474</v>
      </c>
      <c r="P60" s="283">
        <v>5423.18</v>
      </c>
      <c r="Q60" s="283">
        <f>(4450500/1000+885547.97/1000)*Q81</f>
        <v>1109.8979777599998</v>
      </c>
      <c r="R60" s="252">
        <f t="shared" si="94"/>
        <v>-4313.2820222400005</v>
      </c>
      <c r="S60" s="252">
        <f t="shared" ref="S60:S63" si="105">Q60/P60*100-100</f>
        <v>-79.534185150409911</v>
      </c>
      <c r="T60" s="283">
        <v>1478.24</v>
      </c>
      <c r="U60" s="283">
        <f>(4450500/1000+885547.97/1000)*U81</f>
        <v>945.54770028399992</v>
      </c>
      <c r="V60" s="252">
        <f t="shared" si="96"/>
        <v>-532.69229971600009</v>
      </c>
      <c r="W60" s="252">
        <f t="shared" si="97"/>
        <v>-36.035576071273958</v>
      </c>
      <c r="X60" s="283">
        <v>10181.643933488001</v>
      </c>
      <c r="Y60" s="283">
        <f t="shared" si="98"/>
        <v>5336.0479699999996</v>
      </c>
      <c r="Z60" s="21">
        <v>417.57457651199911</v>
      </c>
      <c r="AA60" s="131">
        <f t="shared" si="99"/>
        <v>-47.591489106690943</v>
      </c>
      <c r="AB60" s="53"/>
      <c r="AC60" s="9"/>
      <c r="AD60" s="53">
        <f t="shared" si="100"/>
        <v>10181.643933488001</v>
      </c>
      <c r="AE60" s="9">
        <f t="shared" si="87"/>
        <v>5336.0479699999996</v>
      </c>
      <c r="AF60" s="21">
        <f t="shared" si="101"/>
        <v>-4845.5959634880019</v>
      </c>
      <c r="AG60" s="54">
        <f t="shared" si="102"/>
        <v>-47.591489106690943</v>
      </c>
      <c r="AH60" s="242">
        <v>3561.9602100000002</v>
      </c>
      <c r="AI60" s="96">
        <f t="shared" si="77"/>
        <v>1774.0877599999994</v>
      </c>
      <c r="AJ60" s="132"/>
    </row>
    <row r="61" spans="1:36" s="77" customFormat="1">
      <c r="A61" s="158" t="s">
        <v>85</v>
      </c>
      <c r="B61" s="172" t="s">
        <v>27</v>
      </c>
      <c r="C61" s="261" t="s">
        <v>140</v>
      </c>
      <c r="D61" s="283">
        <v>2821.18</v>
      </c>
      <c r="E61" s="283">
        <f>(20089.28/1000+215000/1000+52250/1000)*E81</f>
        <v>130.222161696</v>
      </c>
      <c r="F61" s="252">
        <f t="shared" si="88"/>
        <v>-2690.9578383039998</v>
      </c>
      <c r="G61" s="252">
        <f t="shared" si="89"/>
        <v>-95.384124313372425</v>
      </c>
      <c r="H61" s="283">
        <v>19.3</v>
      </c>
      <c r="I61" s="283">
        <f>(20089.28/1000+215000/1000+52250/1000)*I81</f>
        <v>0.89075176800000011</v>
      </c>
      <c r="J61" s="252">
        <f t="shared" si="90"/>
        <v>-18.409248231999999</v>
      </c>
      <c r="K61" s="252">
        <f t="shared" si="103"/>
        <v>-95.384705865284971</v>
      </c>
      <c r="L61" s="283">
        <v>986.66499999999996</v>
      </c>
      <c r="M61" s="283">
        <f>(20089.28/1000+215000/1000+52250/1000)*M81</f>
        <v>45.543275880000003</v>
      </c>
      <c r="N61" s="252">
        <f t="shared" si="92"/>
        <v>-941.12172411999995</v>
      </c>
      <c r="O61" s="252">
        <f t="shared" si="104"/>
        <v>-95.384119647499404</v>
      </c>
      <c r="P61" s="283">
        <v>1294.8</v>
      </c>
      <c r="Q61" s="283">
        <f>(20089.28/1000+215000/1000+52250/1000)*Q81</f>
        <v>59.766570240000007</v>
      </c>
      <c r="R61" s="252">
        <f t="shared" si="94"/>
        <v>-1235.03342976</v>
      </c>
      <c r="S61" s="252">
        <f t="shared" si="105"/>
        <v>-95.384107951807223</v>
      </c>
      <c r="T61" s="283">
        <v>616.46</v>
      </c>
      <c r="U61" s="283">
        <f>(20089.28/1000+215000/1000+52250/1000)*U81</f>
        <v>50.916520416000004</v>
      </c>
      <c r="V61" s="252">
        <f t="shared" si="96"/>
        <v>-565.54347958400001</v>
      </c>
      <c r="W61" s="252">
        <f t="shared" si="97"/>
        <v>-91.740498910553811</v>
      </c>
      <c r="X61" s="283">
        <v>1230.9849999999997</v>
      </c>
      <c r="Y61" s="283">
        <f>E61+I61+M61+Q61+U61</f>
        <v>287.33928000000003</v>
      </c>
      <c r="Z61" s="21">
        <v>-1150.6249999999998</v>
      </c>
      <c r="AA61" s="131">
        <f t="shared" si="99"/>
        <v>-76.657775683700436</v>
      </c>
      <c r="AB61" s="53"/>
      <c r="AC61" s="9"/>
      <c r="AD61" s="53">
        <f t="shared" si="100"/>
        <v>1230.9849999999997</v>
      </c>
      <c r="AE61" s="9">
        <f t="shared" si="87"/>
        <v>287.33928000000003</v>
      </c>
      <c r="AF61" s="21">
        <f t="shared" si="101"/>
        <v>-943.64571999999964</v>
      </c>
      <c r="AG61" s="55">
        <f t="shared" si="102"/>
        <v>-76.657775683700436</v>
      </c>
      <c r="AH61" s="242">
        <v>510.08927999999997</v>
      </c>
      <c r="AI61" s="96">
        <f t="shared" si="77"/>
        <v>-222.74999999999994</v>
      </c>
    </row>
    <row r="62" spans="1:36" s="98" customFormat="1">
      <c r="A62" s="158" t="s">
        <v>86</v>
      </c>
      <c r="B62" s="172" t="s">
        <v>28</v>
      </c>
      <c r="C62" s="262" t="s">
        <v>140</v>
      </c>
      <c r="D62" s="283">
        <v>679.8</v>
      </c>
      <c r="E62" s="283">
        <f>1326559.61/1000*E81</f>
        <v>601.19681525199996</v>
      </c>
      <c r="F62" s="252">
        <f t="shared" si="88"/>
        <v>-78.60318474799999</v>
      </c>
      <c r="G62" s="252">
        <f t="shared" si="89"/>
        <v>-11.562692666666663</v>
      </c>
      <c r="H62" s="283">
        <v>4.6500000000000004</v>
      </c>
      <c r="I62" s="283">
        <f>1326559.61/1000*I81</f>
        <v>4.1123347910000003</v>
      </c>
      <c r="J62" s="252">
        <f t="shared" si="90"/>
        <v>-0.53766520900000003</v>
      </c>
      <c r="K62" s="252">
        <f t="shared" si="103"/>
        <v>-11.562692666666663</v>
      </c>
      <c r="L62" s="283">
        <v>237.745</v>
      </c>
      <c r="M62" s="283">
        <f>1326559.61/1000*M81</f>
        <v>210.25969818500002</v>
      </c>
      <c r="N62" s="252">
        <f t="shared" si="92"/>
        <v>-27.485301814999985</v>
      </c>
      <c r="O62" s="252">
        <f t="shared" si="104"/>
        <v>-11.560832747271235</v>
      </c>
      <c r="P62" s="283">
        <v>312</v>
      </c>
      <c r="Q62" s="283">
        <f>1326559.61/1000*Q81</f>
        <v>275.92439888000001</v>
      </c>
      <c r="R62" s="252">
        <f t="shared" si="94"/>
        <v>-36.075601119999988</v>
      </c>
      <c r="S62" s="252">
        <f t="shared" si="105"/>
        <v>-11.562692666666663</v>
      </c>
      <c r="T62" s="283">
        <v>107.17</v>
      </c>
      <c r="U62" s="283">
        <f>1326559.61/1000*U81</f>
        <v>235.066362892</v>
      </c>
      <c r="V62" s="252">
        <f t="shared" si="96"/>
        <v>127.896362892</v>
      </c>
      <c r="W62" s="252">
        <f t="shared" si="97"/>
        <v>119.33970597368665</v>
      </c>
      <c r="X62" s="283">
        <v>430.34440281600007</v>
      </c>
      <c r="Y62" s="283">
        <f t="shared" si="98"/>
        <v>1326.55961</v>
      </c>
      <c r="Z62" s="21">
        <v>3.6555971839999302</v>
      </c>
      <c r="AA62" s="131">
        <f t="shared" si="99"/>
        <v>208.25534184237773</v>
      </c>
      <c r="AB62" s="69"/>
      <c r="AC62" s="26"/>
      <c r="AD62" s="53">
        <f t="shared" si="100"/>
        <v>430.34440281600007</v>
      </c>
      <c r="AE62" s="9">
        <f t="shared" si="87"/>
        <v>1326.55961</v>
      </c>
      <c r="AF62" s="21">
        <f t="shared" si="101"/>
        <v>896.21520718399995</v>
      </c>
      <c r="AG62" s="55">
        <f t="shared" si="102"/>
        <v>208.25534184237773</v>
      </c>
      <c r="AH62" s="242">
        <v>1043.48622</v>
      </c>
      <c r="AI62" s="96">
        <f t="shared" si="77"/>
        <v>283.07339000000002</v>
      </c>
    </row>
    <row r="63" spans="1:36" s="98" customFormat="1">
      <c r="A63" s="158" t="s">
        <v>87</v>
      </c>
      <c r="B63" s="172" t="s">
        <v>29</v>
      </c>
      <c r="C63" s="262" t="s">
        <v>140</v>
      </c>
      <c r="D63" s="283">
        <v>95.77</v>
      </c>
      <c r="E63" s="283"/>
      <c r="F63" s="252">
        <f t="shared" si="88"/>
        <v>-95.77</v>
      </c>
      <c r="G63" s="252">
        <f t="shared" si="89"/>
        <v>-100</v>
      </c>
      <c r="H63" s="283">
        <v>0.66</v>
      </c>
      <c r="I63" s="283"/>
      <c r="J63" s="252">
        <f t="shared" si="90"/>
        <v>-0.66</v>
      </c>
      <c r="K63" s="252">
        <f t="shared" si="103"/>
        <v>-100</v>
      </c>
      <c r="L63" s="283">
        <v>33.5</v>
      </c>
      <c r="M63" s="283"/>
      <c r="N63" s="252">
        <f t="shared" si="92"/>
        <v>-33.5</v>
      </c>
      <c r="O63" s="252">
        <f t="shared" si="104"/>
        <v>-100</v>
      </c>
      <c r="P63" s="283">
        <v>43.96</v>
      </c>
      <c r="Q63" s="283"/>
      <c r="R63" s="252">
        <f t="shared" si="94"/>
        <v>-43.96</v>
      </c>
      <c r="S63" s="252">
        <f t="shared" si="105"/>
        <v>-100</v>
      </c>
      <c r="T63" s="283">
        <v>33.97</v>
      </c>
      <c r="U63" s="283"/>
      <c r="V63" s="252">
        <f t="shared" si="96"/>
        <v>-33.97</v>
      </c>
      <c r="W63" s="252">
        <f t="shared" si="97"/>
        <v>-100</v>
      </c>
      <c r="X63" s="283">
        <v>209.55873033245001</v>
      </c>
      <c r="Y63" s="283">
        <f t="shared" si="98"/>
        <v>0</v>
      </c>
      <c r="Z63" s="21">
        <v>39.041269667549983</v>
      </c>
      <c r="AA63" s="131">
        <f t="shared" si="99"/>
        <v>-100</v>
      </c>
      <c r="AB63" s="69"/>
      <c r="AC63" s="26"/>
      <c r="AD63" s="53">
        <f t="shared" si="100"/>
        <v>209.55873033245001</v>
      </c>
      <c r="AE63" s="9">
        <f t="shared" si="87"/>
        <v>0</v>
      </c>
      <c r="AF63" s="21">
        <f t="shared" si="101"/>
        <v>-209.55873033245001</v>
      </c>
      <c r="AG63" s="55">
        <f t="shared" si="102"/>
        <v>-100</v>
      </c>
      <c r="AH63" s="242"/>
      <c r="AI63" s="96"/>
    </row>
    <row r="64" spans="1:36" s="77" customFormat="1">
      <c r="A64" s="158" t="s">
        <v>88</v>
      </c>
      <c r="B64" s="172" t="s">
        <v>30</v>
      </c>
      <c r="C64" s="261" t="s">
        <v>140</v>
      </c>
      <c r="D64" s="283">
        <v>0</v>
      </c>
      <c r="E64" s="283">
        <f>(3828.75/1000+4288.2/1000+765.75/1000)*E81</f>
        <v>4.0256396399999996</v>
      </c>
      <c r="F64" s="252">
        <f t="shared" si="88"/>
        <v>4.0256396399999996</v>
      </c>
      <c r="G64" s="252"/>
      <c r="H64" s="283">
        <v>0</v>
      </c>
      <c r="I64" s="283">
        <f>(3828.75/1000+4288.2/1000+765.75/1000)*I81</f>
        <v>2.7536369999999998E-2</v>
      </c>
      <c r="J64" s="252">
        <f t="shared" si="90"/>
        <v>2.7536369999999998E-2</v>
      </c>
      <c r="K64" s="252"/>
      <c r="L64" s="283"/>
      <c r="M64" s="283">
        <f>(3828.75/1000+4288.2/1000+765.75/1000)*M81</f>
        <v>1.40790795</v>
      </c>
      <c r="N64" s="252">
        <f t="shared" si="92"/>
        <v>1.40790795</v>
      </c>
      <c r="O64" s="252"/>
      <c r="P64" s="283"/>
      <c r="Q64" s="283">
        <f>(3828.75/1000+4288.2/1000+765.75/1000)*Q81</f>
        <v>1.8476016</v>
      </c>
      <c r="R64" s="252">
        <f t="shared" si="94"/>
        <v>1.8476016</v>
      </c>
      <c r="S64" s="252"/>
      <c r="T64" s="283">
        <v>0.67</v>
      </c>
      <c r="U64" s="283">
        <f>(3828.75/1000+4288.2/1000+765.75/1000)*U81</f>
        <v>1.57401444</v>
      </c>
      <c r="V64" s="252">
        <f t="shared" si="96"/>
        <v>0.90401443999999997</v>
      </c>
      <c r="W64" s="252">
        <f t="shared" si="97"/>
        <v>134.92752835820895</v>
      </c>
      <c r="X64" s="283">
        <v>0</v>
      </c>
      <c r="Y64" s="283">
        <f t="shared" si="98"/>
        <v>8.8826999999999998</v>
      </c>
      <c r="Z64" s="9"/>
      <c r="AA64" s="237"/>
      <c r="AB64" s="53"/>
      <c r="AC64" s="9"/>
      <c r="AD64" s="53">
        <f t="shared" si="100"/>
        <v>0</v>
      </c>
      <c r="AE64" s="9">
        <f t="shared" si="87"/>
        <v>8.8826999999999998</v>
      </c>
      <c r="AF64" s="9"/>
      <c r="AG64" s="238"/>
      <c r="AH64" s="242">
        <v>8.8826999999999998</v>
      </c>
      <c r="AI64" s="96">
        <f t="shared" si="77"/>
        <v>0</v>
      </c>
    </row>
    <row r="65" spans="1:35" s="98" customFormat="1">
      <c r="A65" s="158" t="s">
        <v>89</v>
      </c>
      <c r="B65" s="172" t="s">
        <v>31</v>
      </c>
      <c r="C65" s="262" t="s">
        <v>140</v>
      </c>
      <c r="D65" s="283">
        <v>0</v>
      </c>
      <c r="E65" s="283">
        <f>92334.96/1000*E81</f>
        <v>41.846203872000004</v>
      </c>
      <c r="F65" s="252">
        <f t="shared" si="88"/>
        <v>41.846203872000004</v>
      </c>
      <c r="G65" s="252"/>
      <c r="H65" s="283">
        <v>0</v>
      </c>
      <c r="I65" s="283">
        <f>92334.96/1000*I81</f>
        <v>0.28623837600000002</v>
      </c>
      <c r="J65" s="252">
        <f t="shared" si="90"/>
        <v>0.28623837600000002</v>
      </c>
      <c r="K65" s="252"/>
      <c r="L65" s="283"/>
      <c r="M65" s="283">
        <f>92334.96/1000*M81</f>
        <v>14.635091160000002</v>
      </c>
      <c r="N65" s="252">
        <f t="shared" si="92"/>
        <v>14.635091160000002</v>
      </c>
      <c r="O65" s="252"/>
      <c r="P65" s="283"/>
      <c r="Q65" s="283">
        <f>92334.96/1000*Q81</f>
        <v>19.205671680000002</v>
      </c>
      <c r="R65" s="252">
        <f t="shared" si="94"/>
        <v>19.205671680000002</v>
      </c>
      <c r="S65" s="252"/>
      <c r="T65" s="283"/>
      <c r="U65" s="283">
        <f>92334.96/1000*U81</f>
        <v>16.361754912000002</v>
      </c>
      <c r="V65" s="252">
        <f t="shared" si="96"/>
        <v>16.361754912000002</v>
      </c>
      <c r="W65" s="252"/>
      <c r="X65" s="283">
        <v>284.5339962999999</v>
      </c>
      <c r="Y65" s="283">
        <f>E65+I65+M65+Q65+U65</f>
        <v>92.334960000000024</v>
      </c>
      <c r="Z65" s="21">
        <v>700.01600370000006</v>
      </c>
      <c r="AA65" s="131">
        <f t="shared" si="99"/>
        <v>-67.548707289568952</v>
      </c>
      <c r="AB65" s="69"/>
      <c r="AC65" s="26"/>
      <c r="AD65" s="53">
        <f t="shared" si="100"/>
        <v>284.5339962999999</v>
      </c>
      <c r="AE65" s="9">
        <f t="shared" si="87"/>
        <v>92.334960000000024</v>
      </c>
      <c r="AF65" s="21">
        <f t="shared" ref="AF65:AF80" si="106">AE65-AD65</f>
        <v>-192.19903629999988</v>
      </c>
      <c r="AG65" s="55">
        <v>100</v>
      </c>
      <c r="AH65" s="242">
        <v>69.788070000000005</v>
      </c>
      <c r="AI65" s="96">
        <f t="shared" si="77"/>
        <v>22.546890000000019</v>
      </c>
    </row>
    <row r="66" spans="1:35" s="3" customFormat="1">
      <c r="A66" s="158" t="s">
        <v>90</v>
      </c>
      <c r="B66" s="172" t="s">
        <v>32</v>
      </c>
      <c r="C66" s="261" t="s">
        <v>140</v>
      </c>
      <c r="D66" s="283">
        <v>3199.87</v>
      </c>
      <c r="E66" s="283"/>
      <c r="F66" s="252">
        <f t="shared" si="88"/>
        <v>-3199.87</v>
      </c>
      <c r="G66" s="252">
        <f t="shared" si="89"/>
        <v>-100</v>
      </c>
      <c r="H66" s="283">
        <v>21.89</v>
      </c>
      <c r="I66" s="283"/>
      <c r="J66" s="252">
        <f t="shared" si="90"/>
        <v>-21.89</v>
      </c>
      <c r="K66" s="252">
        <f t="shared" ref="K66:K68" si="107">I66/H66*100-100</f>
        <v>-100</v>
      </c>
      <c r="L66" s="283">
        <v>1290.1600000000001</v>
      </c>
      <c r="M66" s="283"/>
      <c r="N66" s="252">
        <f t="shared" si="92"/>
        <v>-1290.1600000000001</v>
      </c>
      <c r="O66" s="252">
        <f t="shared" ref="O66:O69" si="108">M66/L66*100-100</f>
        <v>-100</v>
      </c>
      <c r="P66" s="283">
        <v>1468.61</v>
      </c>
      <c r="Q66" s="283"/>
      <c r="R66" s="252">
        <f t="shared" si="94"/>
        <v>-1468.61</v>
      </c>
      <c r="S66" s="252">
        <f t="shared" ref="S66:S69" si="109">Q66/P66*100-100</f>
        <v>-100</v>
      </c>
      <c r="T66" s="283">
        <v>2678.73</v>
      </c>
      <c r="U66" s="283"/>
      <c r="V66" s="252">
        <f t="shared" si="96"/>
        <v>-2678.73</v>
      </c>
      <c r="W66" s="252">
        <f t="shared" ref="W66:W78" si="110">U66/T66*100-100</f>
        <v>-100</v>
      </c>
      <c r="X66" s="283">
        <v>6206.7573899999998</v>
      </c>
      <c r="Y66" s="283">
        <f t="shared" si="98"/>
        <v>0</v>
      </c>
      <c r="Z66" s="21">
        <v>-5063.2573899999998</v>
      </c>
      <c r="AA66" s="131">
        <f t="shared" si="99"/>
        <v>-100</v>
      </c>
      <c r="AB66" s="53"/>
      <c r="AC66" s="9"/>
      <c r="AD66" s="53">
        <f t="shared" si="100"/>
        <v>6206.7573899999998</v>
      </c>
      <c r="AE66" s="9">
        <f t="shared" si="87"/>
        <v>0</v>
      </c>
      <c r="AF66" s="21">
        <f t="shared" si="106"/>
        <v>-6206.7573899999998</v>
      </c>
      <c r="AG66" s="54">
        <f t="shared" ref="AG66:AG80" si="111">AE66/AD66*100-100</f>
        <v>-100</v>
      </c>
      <c r="AH66" s="242"/>
      <c r="AI66" s="96"/>
    </row>
    <row r="67" spans="1:35" s="3" customFormat="1">
      <c r="A67" s="158" t="s">
        <v>91</v>
      </c>
      <c r="B67" s="172" t="s">
        <v>33</v>
      </c>
      <c r="C67" s="261" t="s">
        <v>140</v>
      </c>
      <c r="D67" s="283">
        <v>525.41</v>
      </c>
      <c r="E67" s="283"/>
      <c r="F67" s="252">
        <f t="shared" si="88"/>
        <v>-525.41</v>
      </c>
      <c r="G67" s="252">
        <f t="shared" si="89"/>
        <v>-100</v>
      </c>
      <c r="H67" s="283">
        <v>3.585</v>
      </c>
      <c r="I67" s="283"/>
      <c r="J67" s="252">
        <f t="shared" si="90"/>
        <v>-3.585</v>
      </c>
      <c r="K67" s="252">
        <f t="shared" si="107"/>
        <v>-100</v>
      </c>
      <c r="L67" s="283">
        <v>183.745</v>
      </c>
      <c r="M67" s="283"/>
      <c r="N67" s="252">
        <f t="shared" si="92"/>
        <v>-183.745</v>
      </c>
      <c r="O67" s="252">
        <f t="shared" si="108"/>
        <v>-100</v>
      </c>
      <c r="P67" s="283">
        <v>241.14</v>
      </c>
      <c r="Q67" s="283"/>
      <c r="R67" s="252">
        <f t="shared" si="94"/>
        <v>-241.14</v>
      </c>
      <c r="S67" s="252">
        <f t="shared" si="109"/>
        <v>-100</v>
      </c>
      <c r="T67" s="283">
        <v>67.91</v>
      </c>
      <c r="U67" s="283"/>
      <c r="V67" s="252">
        <f t="shared" si="96"/>
        <v>-67.91</v>
      </c>
      <c r="W67" s="252">
        <f t="shared" si="110"/>
        <v>-100</v>
      </c>
      <c r="X67" s="283">
        <v>976.37736529999995</v>
      </c>
      <c r="Y67" s="283">
        <f t="shared" si="98"/>
        <v>0</v>
      </c>
      <c r="Z67" s="21">
        <v>-976.37736529999995</v>
      </c>
      <c r="AA67" s="131">
        <f t="shared" si="99"/>
        <v>-100</v>
      </c>
      <c r="AB67" s="53"/>
      <c r="AC67" s="9"/>
      <c r="AD67" s="53">
        <f t="shared" si="100"/>
        <v>976.37736529999995</v>
      </c>
      <c r="AE67" s="9">
        <f t="shared" si="87"/>
        <v>0</v>
      </c>
      <c r="AF67" s="88">
        <f t="shared" si="106"/>
        <v>-976.37736529999995</v>
      </c>
      <c r="AG67" s="89">
        <f t="shared" si="111"/>
        <v>-100</v>
      </c>
      <c r="AH67" s="242"/>
      <c r="AI67" s="96"/>
    </row>
    <row r="68" spans="1:35" s="3" customFormat="1">
      <c r="A68" s="158" t="s">
        <v>92</v>
      </c>
      <c r="B68" s="172" t="s">
        <v>34</v>
      </c>
      <c r="C68" s="261" t="s">
        <v>140</v>
      </c>
      <c r="D68" s="283">
        <v>5167.72</v>
      </c>
      <c r="E68" s="283">
        <f>270000/1000*E81</f>
        <v>122.364</v>
      </c>
      <c r="F68" s="252">
        <f t="shared" si="88"/>
        <v>-5045.3560000000007</v>
      </c>
      <c r="G68" s="252">
        <f t="shared" si="89"/>
        <v>-97.632147252560117</v>
      </c>
      <c r="H68" s="283">
        <v>35.35</v>
      </c>
      <c r="I68" s="283">
        <f>270000/1000*I81</f>
        <v>0.83699999999999997</v>
      </c>
      <c r="J68" s="252">
        <f t="shared" si="90"/>
        <v>-34.512999999999998</v>
      </c>
      <c r="K68" s="252">
        <f t="shared" si="107"/>
        <v>-97.632248939179632</v>
      </c>
      <c r="L68" s="283">
        <v>539.255</v>
      </c>
      <c r="M68" s="283">
        <f>270000/1000*M81</f>
        <v>42.795000000000002</v>
      </c>
      <c r="N68" s="252">
        <f t="shared" si="92"/>
        <v>-496.46</v>
      </c>
      <c r="O68" s="252">
        <f t="shared" si="108"/>
        <v>-92.064051330075756</v>
      </c>
      <c r="P68" s="283">
        <v>707.67</v>
      </c>
      <c r="Q68" s="283">
        <f>270000/1000*Q81</f>
        <v>56.16</v>
      </c>
      <c r="R68" s="252">
        <f t="shared" si="94"/>
        <v>-651.51</v>
      </c>
      <c r="S68" s="252">
        <f t="shared" si="109"/>
        <v>-92.064097672644024</v>
      </c>
      <c r="T68" s="283">
        <v>167.55500000000001</v>
      </c>
      <c r="U68" s="283">
        <f>270000/1000*U81</f>
        <v>47.844000000000001</v>
      </c>
      <c r="V68" s="252">
        <f t="shared" si="96"/>
        <v>-119.71100000000001</v>
      </c>
      <c r="W68" s="252">
        <f t="shared" si="110"/>
        <v>-71.44579391841485</v>
      </c>
      <c r="X68" s="283">
        <v>3857.6578399999999</v>
      </c>
      <c r="Y68" s="283">
        <f t="shared" si="98"/>
        <v>270</v>
      </c>
      <c r="Z68" s="21">
        <v>-887.15783999999985</v>
      </c>
      <c r="AA68" s="131">
        <f t="shared" si="99"/>
        <v>-93.000934473753119</v>
      </c>
      <c r="AB68" s="53"/>
      <c r="AC68" s="9"/>
      <c r="AD68" s="53">
        <f t="shared" si="100"/>
        <v>3857.6578399999999</v>
      </c>
      <c r="AE68" s="9">
        <f t="shared" si="87"/>
        <v>270</v>
      </c>
      <c r="AF68" s="88">
        <f t="shared" si="106"/>
        <v>-3587.6578399999999</v>
      </c>
      <c r="AG68" s="89">
        <f t="shared" si="111"/>
        <v>-93.000934473753119</v>
      </c>
      <c r="AH68" s="242">
        <v>270</v>
      </c>
      <c r="AI68" s="96">
        <f t="shared" si="77"/>
        <v>0</v>
      </c>
    </row>
    <row r="69" spans="1:35" s="3" customFormat="1">
      <c r="A69" s="158" t="s">
        <v>93</v>
      </c>
      <c r="B69" s="172" t="s">
        <v>35</v>
      </c>
      <c r="C69" s="261" t="s">
        <v>140</v>
      </c>
      <c r="D69" s="283">
        <v>0</v>
      </c>
      <c r="E69" s="283">
        <f>(54696.43/1000+673501.48/1000+38178.57/1000+180514.26/1000+490000/1000)*E81</f>
        <v>651.198883368</v>
      </c>
      <c r="F69" s="252">
        <f t="shared" si="88"/>
        <v>651.198883368</v>
      </c>
      <c r="G69" s="252"/>
      <c r="H69" s="283">
        <v>0.21</v>
      </c>
      <c r="I69" s="283">
        <f>(54696.43/1000+673501.48/1000+38178.57/1000+180514.26/1000+490000/1000)*I81</f>
        <v>4.4543612939999999</v>
      </c>
      <c r="J69" s="252">
        <f t="shared" si="90"/>
        <v>4.244361294</v>
      </c>
      <c r="K69" s="252"/>
      <c r="L69" s="283">
        <v>10.92</v>
      </c>
      <c r="M69" s="283">
        <f>(54696.43/1000+673501.48/1000+38178.57/1000+180514.26/1000+490000/1000)*M81</f>
        <v>227.74718229000001</v>
      </c>
      <c r="N69" s="252">
        <f t="shared" si="92"/>
        <v>216.82718229000002</v>
      </c>
      <c r="O69" s="252">
        <f t="shared" si="108"/>
        <v>1985.5969074175823</v>
      </c>
      <c r="P69" s="283">
        <v>14.33</v>
      </c>
      <c r="Q69" s="283">
        <f>(54696.43/1000+673501.48/1000+38178.57/1000+180514.26/1000+490000/1000)*Q81</f>
        <v>298.87327391999997</v>
      </c>
      <c r="R69" s="252">
        <f t="shared" si="94"/>
        <v>284.54327391999999</v>
      </c>
      <c r="S69" s="252">
        <f t="shared" si="109"/>
        <v>1985.6474104675503</v>
      </c>
      <c r="T69" s="283">
        <v>44.71</v>
      </c>
      <c r="U69" s="283">
        <f>(54696.43/1000+673501.48/1000+38178.57/1000+180514.26/1000+490000/1000)*U81</f>
        <v>254.61703912800002</v>
      </c>
      <c r="V69" s="252">
        <f t="shared" si="96"/>
        <v>209.90703912800001</v>
      </c>
      <c r="W69" s="252">
        <f t="shared" si="110"/>
        <v>469.48566121225679</v>
      </c>
      <c r="X69" s="283">
        <v>158.56025589424996</v>
      </c>
      <c r="Y69" s="283">
        <f t="shared" si="98"/>
        <v>1436.8907400000001</v>
      </c>
      <c r="Z69" s="21">
        <v>359.24974410574998</v>
      </c>
      <c r="AA69" s="131">
        <f t="shared" si="99"/>
        <v>806.21116363379156</v>
      </c>
      <c r="AB69" s="53"/>
      <c r="AC69" s="9"/>
      <c r="AD69" s="53">
        <f t="shared" si="100"/>
        <v>158.56025589424996</v>
      </c>
      <c r="AE69" s="9">
        <f t="shared" si="87"/>
        <v>1436.8907400000001</v>
      </c>
      <c r="AF69" s="88">
        <f t="shared" si="106"/>
        <v>1278.3304841057502</v>
      </c>
      <c r="AG69" s="89">
        <f t="shared" si="111"/>
        <v>806.21116363379156</v>
      </c>
      <c r="AH69" s="242">
        <v>730.04826000000003</v>
      </c>
      <c r="AI69" s="96">
        <f t="shared" si="77"/>
        <v>706.84248000000002</v>
      </c>
    </row>
    <row r="70" spans="1:35" s="3" customFormat="1">
      <c r="A70" s="158" t="s">
        <v>94</v>
      </c>
      <c r="B70" s="172" t="s">
        <v>36</v>
      </c>
      <c r="C70" s="261" t="s">
        <v>140</v>
      </c>
      <c r="D70" s="283">
        <v>0</v>
      </c>
      <c r="E70" s="283">
        <f>5166437/1000*E81</f>
        <v>2341.4292483999998</v>
      </c>
      <c r="F70" s="252">
        <f t="shared" si="88"/>
        <v>2341.4292483999998</v>
      </c>
      <c r="G70" s="252"/>
      <c r="H70" s="283">
        <v>0</v>
      </c>
      <c r="I70" s="283">
        <f>5166437/1000*I81</f>
        <v>16.015954699999998</v>
      </c>
      <c r="J70" s="252">
        <f t="shared" si="90"/>
        <v>16.015954699999998</v>
      </c>
      <c r="K70" s="252"/>
      <c r="L70" s="283"/>
      <c r="M70" s="283">
        <f>5166437/1000*M81</f>
        <v>818.88026449999995</v>
      </c>
      <c r="N70" s="252">
        <f t="shared" si="92"/>
        <v>818.88026449999995</v>
      </c>
      <c r="O70" s="252"/>
      <c r="P70" s="283"/>
      <c r="Q70" s="283">
        <f>5166437/1000*Q81</f>
        <v>1074.6188959999999</v>
      </c>
      <c r="R70" s="252">
        <f t="shared" si="94"/>
        <v>1074.6188959999999</v>
      </c>
      <c r="S70" s="252"/>
      <c r="T70" s="283">
        <v>6.03</v>
      </c>
      <c r="U70" s="283">
        <f>5166437/1000*U81</f>
        <v>915.49263639999992</v>
      </c>
      <c r="V70" s="252">
        <f t="shared" si="96"/>
        <v>909.46263639999995</v>
      </c>
      <c r="W70" s="252">
        <f t="shared" si="110"/>
        <v>15082.29911111111</v>
      </c>
      <c r="X70" s="283">
        <v>6.03</v>
      </c>
      <c r="Y70" s="283">
        <f t="shared" si="98"/>
        <v>5166.4369999999999</v>
      </c>
      <c r="Z70" s="21">
        <v>18362.080000000002</v>
      </c>
      <c r="AA70" s="131">
        <f t="shared" si="99"/>
        <v>85578.888888888891</v>
      </c>
      <c r="AB70" s="53"/>
      <c r="AC70" s="9"/>
      <c r="AD70" s="53">
        <f t="shared" si="100"/>
        <v>6.03</v>
      </c>
      <c r="AE70" s="9">
        <f t="shared" si="87"/>
        <v>5166.4369999999999</v>
      </c>
      <c r="AF70" s="21">
        <f t="shared" si="106"/>
        <v>5160.4070000000002</v>
      </c>
      <c r="AG70" s="54">
        <f t="shared" si="111"/>
        <v>85578.888888888891</v>
      </c>
      <c r="AH70" s="242">
        <v>5166.4369999999999</v>
      </c>
      <c r="AI70" s="96">
        <f t="shared" si="77"/>
        <v>0</v>
      </c>
    </row>
    <row r="71" spans="1:35" s="3" customFormat="1">
      <c r="A71" s="158" t="s">
        <v>95</v>
      </c>
      <c r="B71" s="172" t="s">
        <v>37</v>
      </c>
      <c r="C71" s="261" t="s">
        <v>140</v>
      </c>
      <c r="D71" s="283">
        <v>1550.92</v>
      </c>
      <c r="E71" s="283">
        <f>888792/1000*E81</f>
        <v>402.8005344</v>
      </c>
      <c r="F71" s="252">
        <f t="shared" si="88"/>
        <v>-1148.1194656</v>
      </c>
      <c r="G71" s="252">
        <f t="shared" si="89"/>
        <v>-74.028284218399406</v>
      </c>
      <c r="H71" s="283">
        <v>10.61</v>
      </c>
      <c r="I71" s="283">
        <f>888792/1000*I81</f>
        <v>2.7552552000000001</v>
      </c>
      <c r="J71" s="252">
        <f t="shared" si="90"/>
        <v>-7.8547447999999989</v>
      </c>
      <c r="K71" s="252">
        <f t="shared" ref="K71:K75" si="112">I71/H71*100-100</f>
        <v>-74.031524976437311</v>
      </c>
      <c r="L71" s="283">
        <v>542.41</v>
      </c>
      <c r="M71" s="283">
        <f>888792/1000*M81</f>
        <v>140.87353200000001</v>
      </c>
      <c r="N71" s="252">
        <f t="shared" si="92"/>
        <v>-401.53646799999996</v>
      </c>
      <c r="O71" s="252">
        <f t="shared" ref="O71:O75" si="113">M71/L71*100-100</f>
        <v>-74.028219981195036</v>
      </c>
      <c r="P71" s="283">
        <v>711.81</v>
      </c>
      <c r="Q71" s="283">
        <f>888792/1000*Q81</f>
        <v>184.86873599999998</v>
      </c>
      <c r="R71" s="252">
        <f t="shared" si="94"/>
        <v>-526.94126399999993</v>
      </c>
      <c r="S71" s="252">
        <f t="shared" ref="S71:S75" si="114">Q71/P71*100-100</f>
        <v>-74.028359253171487</v>
      </c>
      <c r="T71" s="283">
        <v>140.31</v>
      </c>
      <c r="U71" s="283">
        <f>888792/1000*U81</f>
        <v>157.49394240000001</v>
      </c>
      <c r="V71" s="252">
        <f t="shared" si="96"/>
        <v>17.183942400000007</v>
      </c>
      <c r="W71" s="252">
        <f t="shared" si="110"/>
        <v>12.247125935428699</v>
      </c>
      <c r="X71" s="283">
        <v>2071.5439200000001</v>
      </c>
      <c r="Y71" s="283">
        <f t="shared" si="98"/>
        <v>888.79200000000014</v>
      </c>
      <c r="Z71" s="21">
        <v>-1038.5439200000001</v>
      </c>
      <c r="AA71" s="131">
        <f t="shared" si="99"/>
        <v>-57.095189176582842</v>
      </c>
      <c r="AB71" s="53"/>
      <c r="AC71" s="9"/>
      <c r="AD71" s="53">
        <f t="shared" si="100"/>
        <v>2071.5439200000001</v>
      </c>
      <c r="AE71" s="9">
        <f t="shared" si="87"/>
        <v>888.79200000000014</v>
      </c>
      <c r="AF71" s="21">
        <f t="shared" si="106"/>
        <v>-1182.7519199999999</v>
      </c>
      <c r="AG71" s="54">
        <f t="shared" si="111"/>
        <v>-57.095189176582842</v>
      </c>
      <c r="AH71" s="242">
        <v>998.79200000000003</v>
      </c>
      <c r="AI71" s="96">
        <f t="shared" si="77"/>
        <v>-109.99999999999989</v>
      </c>
    </row>
    <row r="72" spans="1:35" s="3" customFormat="1">
      <c r="A72" s="158" t="s">
        <v>96</v>
      </c>
      <c r="B72" s="172" t="s">
        <v>38</v>
      </c>
      <c r="C72" s="261" t="s">
        <v>140</v>
      </c>
      <c r="D72" s="283">
        <v>123</v>
      </c>
      <c r="E72" s="283"/>
      <c r="F72" s="252">
        <f t="shared" si="88"/>
        <v>-123</v>
      </c>
      <c r="G72" s="252">
        <f t="shared" si="89"/>
        <v>-100</v>
      </c>
      <c r="H72" s="283">
        <v>0.84</v>
      </c>
      <c r="I72" s="283"/>
      <c r="J72" s="252">
        <f t="shared" si="90"/>
        <v>-0.84</v>
      </c>
      <c r="K72" s="252">
        <f t="shared" si="112"/>
        <v>-100</v>
      </c>
      <c r="L72" s="283">
        <v>43.02</v>
      </c>
      <c r="M72" s="283"/>
      <c r="N72" s="252">
        <f t="shared" si="92"/>
        <v>-43.02</v>
      </c>
      <c r="O72" s="252">
        <f t="shared" si="113"/>
        <v>-100</v>
      </c>
      <c r="P72" s="283">
        <v>56.45</v>
      </c>
      <c r="Q72" s="283"/>
      <c r="R72" s="252">
        <f t="shared" si="94"/>
        <v>-56.45</v>
      </c>
      <c r="S72" s="252">
        <f t="shared" si="114"/>
        <v>-100</v>
      </c>
      <c r="T72" s="283"/>
      <c r="U72" s="283"/>
      <c r="V72" s="252">
        <f t="shared" si="96"/>
        <v>0</v>
      </c>
      <c r="W72" s="252"/>
      <c r="X72" s="283">
        <v>123.42</v>
      </c>
      <c r="Y72" s="283">
        <f t="shared" si="98"/>
        <v>0</v>
      </c>
      <c r="Z72" s="21">
        <v>26.58</v>
      </c>
      <c r="AA72" s="131">
        <f t="shared" si="99"/>
        <v>-100</v>
      </c>
      <c r="AB72" s="53"/>
      <c r="AC72" s="9"/>
      <c r="AD72" s="53">
        <f t="shared" si="100"/>
        <v>123.42</v>
      </c>
      <c r="AE72" s="9">
        <f t="shared" si="87"/>
        <v>0</v>
      </c>
      <c r="AF72" s="21">
        <f t="shared" si="106"/>
        <v>-123.42</v>
      </c>
      <c r="AG72" s="54">
        <f t="shared" si="111"/>
        <v>-100</v>
      </c>
      <c r="AH72" s="242">
        <v>105</v>
      </c>
      <c r="AI72" s="96">
        <f t="shared" si="77"/>
        <v>-105</v>
      </c>
    </row>
    <row r="73" spans="1:35" s="3" customFormat="1">
      <c r="A73" s="158" t="s">
        <v>97</v>
      </c>
      <c r="B73" s="172" t="s">
        <v>39</v>
      </c>
      <c r="C73" s="261" t="s">
        <v>140</v>
      </c>
      <c r="D73" s="283">
        <v>7.58</v>
      </c>
      <c r="E73" s="283"/>
      <c r="F73" s="252">
        <f t="shared" si="88"/>
        <v>-7.58</v>
      </c>
      <c r="G73" s="252">
        <f t="shared" si="89"/>
        <v>-100</v>
      </c>
      <c r="H73" s="283">
        <v>0.05</v>
      </c>
      <c r="I73" s="283"/>
      <c r="J73" s="252">
        <f t="shared" si="90"/>
        <v>-0.05</v>
      </c>
      <c r="K73" s="252">
        <f t="shared" si="112"/>
        <v>-100</v>
      </c>
      <c r="L73" s="283">
        <v>2.65</v>
      </c>
      <c r="M73" s="283"/>
      <c r="N73" s="252">
        <f t="shared" si="92"/>
        <v>-2.65</v>
      </c>
      <c r="O73" s="252">
        <f t="shared" si="113"/>
        <v>-100</v>
      </c>
      <c r="P73" s="283">
        <v>3.48</v>
      </c>
      <c r="Q73" s="283"/>
      <c r="R73" s="252">
        <f t="shared" si="94"/>
        <v>-3.48</v>
      </c>
      <c r="S73" s="252">
        <f t="shared" si="114"/>
        <v>-100</v>
      </c>
      <c r="T73" s="283">
        <v>14.79</v>
      </c>
      <c r="U73" s="283"/>
      <c r="V73" s="252">
        <f t="shared" si="96"/>
        <v>-14.79</v>
      </c>
      <c r="W73" s="252">
        <f t="shared" si="110"/>
        <v>-100</v>
      </c>
      <c r="X73" s="283">
        <v>0</v>
      </c>
      <c r="Y73" s="283">
        <f t="shared" si="98"/>
        <v>0</v>
      </c>
      <c r="Z73" s="21">
        <v>7.98</v>
      </c>
      <c r="AA73" s="131"/>
      <c r="AB73" s="53"/>
      <c r="AC73" s="9"/>
      <c r="AD73" s="53">
        <f t="shared" si="100"/>
        <v>0</v>
      </c>
      <c r="AE73" s="9">
        <f t="shared" si="87"/>
        <v>0</v>
      </c>
      <c r="AF73" s="21">
        <f t="shared" si="106"/>
        <v>0</v>
      </c>
      <c r="AG73" s="54" t="e">
        <f t="shared" si="111"/>
        <v>#DIV/0!</v>
      </c>
      <c r="AH73" s="242"/>
      <c r="AI73" s="96"/>
    </row>
    <row r="74" spans="1:35" s="3" customFormat="1">
      <c r="A74" s="158" t="s">
        <v>98</v>
      </c>
      <c r="B74" s="172" t="s">
        <v>40</v>
      </c>
      <c r="C74" s="261" t="s">
        <v>140</v>
      </c>
      <c r="D74" s="283">
        <v>482.19</v>
      </c>
      <c r="E74" s="283"/>
      <c r="F74" s="252">
        <f t="shared" si="88"/>
        <v>-482.19</v>
      </c>
      <c r="G74" s="252">
        <f t="shared" si="89"/>
        <v>-100</v>
      </c>
      <c r="H74" s="283">
        <v>3.3</v>
      </c>
      <c r="I74" s="283"/>
      <c r="J74" s="252">
        <f t="shared" si="90"/>
        <v>-3.3</v>
      </c>
      <c r="K74" s="252">
        <f t="shared" si="112"/>
        <v>-100</v>
      </c>
      <c r="L74" s="283">
        <v>168.64</v>
      </c>
      <c r="M74" s="283"/>
      <c r="N74" s="252">
        <f t="shared" si="92"/>
        <v>-168.64</v>
      </c>
      <c r="O74" s="252">
        <f t="shared" si="113"/>
        <v>-100</v>
      </c>
      <c r="P74" s="283">
        <v>221.3</v>
      </c>
      <c r="Q74" s="283"/>
      <c r="R74" s="252">
        <f t="shared" si="94"/>
        <v>-221.3</v>
      </c>
      <c r="S74" s="252">
        <f t="shared" si="114"/>
        <v>-100</v>
      </c>
      <c r="T74" s="283">
        <v>53.43</v>
      </c>
      <c r="U74" s="283"/>
      <c r="V74" s="252">
        <f t="shared" si="96"/>
        <v>-53.43</v>
      </c>
      <c r="W74" s="252">
        <f t="shared" si="110"/>
        <v>-100</v>
      </c>
      <c r="X74" s="283">
        <v>907.64068592000001</v>
      </c>
      <c r="Y74" s="283">
        <f t="shared" si="98"/>
        <v>0</v>
      </c>
      <c r="Z74" s="21">
        <v>22.17931408000004</v>
      </c>
      <c r="AA74" s="131">
        <f t="shared" si="99"/>
        <v>-100</v>
      </c>
      <c r="AB74" s="53"/>
      <c r="AC74" s="9"/>
      <c r="AD74" s="53">
        <f t="shared" si="100"/>
        <v>907.64068592000001</v>
      </c>
      <c r="AE74" s="9">
        <f t="shared" si="87"/>
        <v>0</v>
      </c>
      <c r="AF74" s="88">
        <f t="shared" si="106"/>
        <v>-907.64068592000001</v>
      </c>
      <c r="AG74" s="89">
        <f t="shared" si="111"/>
        <v>-100</v>
      </c>
      <c r="AH74" s="242"/>
      <c r="AI74" s="96"/>
    </row>
    <row r="75" spans="1:35" s="3" customFormat="1">
      <c r="A75" s="158" t="s">
        <v>99</v>
      </c>
      <c r="B75" s="172" t="s">
        <v>41</v>
      </c>
      <c r="C75" s="261" t="s">
        <v>140</v>
      </c>
      <c r="D75" s="283">
        <v>363</v>
      </c>
      <c r="E75" s="283">
        <f>915978.22/1000*E81</f>
        <v>415.12132930399997</v>
      </c>
      <c r="F75" s="252">
        <f t="shared" si="88"/>
        <v>52.121329303999971</v>
      </c>
      <c r="G75" s="252">
        <f t="shared" si="89"/>
        <v>14.358492921212118</v>
      </c>
      <c r="H75" s="283">
        <v>2.4750000000000001</v>
      </c>
      <c r="I75" s="283">
        <f>915978.22/1000*I81</f>
        <v>2.8395324819999996</v>
      </c>
      <c r="J75" s="252">
        <f t="shared" si="90"/>
        <v>0.36453248199999955</v>
      </c>
      <c r="K75" s="252">
        <f t="shared" si="112"/>
        <v>14.728585131313125</v>
      </c>
      <c r="L75" s="283">
        <v>104.5</v>
      </c>
      <c r="M75" s="283">
        <f>915978.22/1000*M81</f>
        <v>145.18254787000001</v>
      </c>
      <c r="N75" s="252">
        <f t="shared" si="92"/>
        <v>40.682547870000008</v>
      </c>
      <c r="O75" s="252">
        <f t="shared" si="113"/>
        <v>38.930667818181831</v>
      </c>
      <c r="P75" s="283">
        <v>166.6</v>
      </c>
      <c r="Q75" s="283">
        <f>915978.22/1000*Q81</f>
        <v>190.52346975999998</v>
      </c>
      <c r="R75" s="252">
        <f t="shared" si="94"/>
        <v>23.923469759999989</v>
      </c>
      <c r="S75" s="252">
        <f t="shared" si="114"/>
        <v>14.359825786314516</v>
      </c>
      <c r="T75" s="283">
        <v>194.755</v>
      </c>
      <c r="U75" s="283">
        <f>915978.22/1000*U81</f>
        <v>162.31134058399999</v>
      </c>
      <c r="V75" s="252">
        <f t="shared" si="96"/>
        <v>-32.443659416000003</v>
      </c>
      <c r="W75" s="252">
        <f t="shared" si="110"/>
        <v>-16.658704226335658</v>
      </c>
      <c r="X75" s="283">
        <v>527.39284000000009</v>
      </c>
      <c r="Y75" s="283">
        <f t="shared" si="98"/>
        <v>915.97821999999996</v>
      </c>
      <c r="Z75" s="21">
        <v>-11.80284000000006</v>
      </c>
      <c r="AA75" s="131">
        <f t="shared" si="99"/>
        <v>73.680442836501129</v>
      </c>
      <c r="AB75" s="53"/>
      <c r="AC75" s="9"/>
      <c r="AD75" s="53">
        <f t="shared" si="100"/>
        <v>527.39284000000009</v>
      </c>
      <c r="AE75" s="9">
        <f t="shared" si="87"/>
        <v>915.97821999999996</v>
      </c>
      <c r="AF75" s="21">
        <f t="shared" si="106"/>
        <v>388.58537999999987</v>
      </c>
      <c r="AG75" s="54">
        <f t="shared" si="111"/>
        <v>73.680442836501129</v>
      </c>
      <c r="AH75" s="242">
        <v>880.66571999999996</v>
      </c>
      <c r="AI75" s="96">
        <f t="shared" si="77"/>
        <v>35.3125</v>
      </c>
    </row>
    <row r="76" spans="1:35" s="3" customFormat="1">
      <c r="A76" s="158" t="s">
        <v>100</v>
      </c>
      <c r="B76" s="172" t="s">
        <v>43</v>
      </c>
      <c r="C76" s="261" t="s">
        <v>140</v>
      </c>
      <c r="D76" s="283">
        <v>344.53</v>
      </c>
      <c r="E76" s="283">
        <f>350000/1000</f>
        <v>350</v>
      </c>
      <c r="F76" s="252">
        <f t="shared" si="88"/>
        <v>5.4700000000000273</v>
      </c>
      <c r="G76" s="252">
        <f t="shared" si="89"/>
        <v>1.5876701593475389</v>
      </c>
      <c r="H76" s="283"/>
      <c r="I76" s="283"/>
      <c r="J76" s="252"/>
      <c r="K76" s="252"/>
      <c r="L76" s="283"/>
      <c r="M76" s="283"/>
      <c r="N76" s="252">
        <f t="shared" si="92"/>
        <v>0</v>
      </c>
      <c r="O76" s="252"/>
      <c r="P76" s="283"/>
      <c r="Q76" s="283"/>
      <c r="R76" s="252">
        <f t="shared" si="94"/>
        <v>0</v>
      </c>
      <c r="S76" s="252"/>
      <c r="T76" s="283">
        <v>146.59</v>
      </c>
      <c r="U76" s="283"/>
      <c r="V76" s="252">
        <f t="shared" si="96"/>
        <v>-146.59</v>
      </c>
      <c r="W76" s="252">
        <f t="shared" si="110"/>
        <v>-100</v>
      </c>
      <c r="X76" s="283">
        <v>846.40967161108404</v>
      </c>
      <c r="Y76" s="283">
        <f t="shared" si="98"/>
        <v>350</v>
      </c>
      <c r="Z76" s="21">
        <v>7046.650328388916</v>
      </c>
      <c r="AA76" s="131">
        <f t="shared" si="99"/>
        <v>-58.648865704263699</v>
      </c>
      <c r="AB76" s="53"/>
      <c r="AC76" s="9"/>
      <c r="AD76" s="53">
        <f t="shared" si="100"/>
        <v>846.40967161108404</v>
      </c>
      <c r="AE76" s="9">
        <f t="shared" si="87"/>
        <v>350</v>
      </c>
      <c r="AF76" s="21">
        <f t="shared" si="106"/>
        <v>-496.40967161108404</v>
      </c>
      <c r="AG76" s="54">
        <f t="shared" si="111"/>
        <v>-58.648865704263699</v>
      </c>
      <c r="AH76" s="242">
        <v>52.25</v>
      </c>
      <c r="AI76" s="96">
        <f t="shared" si="77"/>
        <v>297.75</v>
      </c>
    </row>
    <row r="77" spans="1:35" s="3" customFormat="1">
      <c r="A77" s="158" t="s">
        <v>101</v>
      </c>
      <c r="B77" s="172" t="s">
        <v>44</v>
      </c>
      <c r="C77" s="261" t="s">
        <v>140</v>
      </c>
      <c r="D77" s="283"/>
      <c r="E77" s="283"/>
      <c r="F77" s="252">
        <f t="shared" si="88"/>
        <v>0</v>
      </c>
      <c r="G77" s="252"/>
      <c r="H77" s="283"/>
      <c r="I77" s="283"/>
      <c r="J77" s="252"/>
      <c r="K77" s="252"/>
      <c r="L77" s="283"/>
      <c r="M77" s="283"/>
      <c r="N77" s="252">
        <f t="shared" si="92"/>
        <v>0</v>
      </c>
      <c r="O77" s="252"/>
      <c r="P77" s="283"/>
      <c r="Q77" s="283"/>
      <c r="R77" s="252">
        <f t="shared" si="94"/>
        <v>0</v>
      </c>
      <c r="S77" s="252"/>
      <c r="T77" s="283">
        <v>5</v>
      </c>
      <c r="U77" s="283">
        <f>133928.98/1000+26785.71/1000</f>
        <v>160.71469000000002</v>
      </c>
      <c r="V77" s="252">
        <f t="shared" si="96"/>
        <v>155.71469000000002</v>
      </c>
      <c r="W77" s="252">
        <f t="shared" si="110"/>
        <v>3114.2937999999999</v>
      </c>
      <c r="X77" s="283">
        <v>5</v>
      </c>
      <c r="Y77" s="283">
        <f t="shared" si="98"/>
        <v>160.71469000000002</v>
      </c>
      <c r="Z77" s="21">
        <v>3761.49</v>
      </c>
      <c r="AA77" s="131">
        <f t="shared" si="99"/>
        <v>3114.2937999999999</v>
      </c>
      <c r="AB77" s="53"/>
      <c r="AC77" s="9"/>
      <c r="AD77" s="53">
        <f t="shared" si="100"/>
        <v>5</v>
      </c>
      <c r="AE77" s="9">
        <f t="shared" si="87"/>
        <v>160.71469000000002</v>
      </c>
      <c r="AF77" s="21">
        <f t="shared" si="106"/>
        <v>155.71469000000002</v>
      </c>
      <c r="AG77" s="54">
        <f t="shared" si="111"/>
        <v>3114.2937999999999</v>
      </c>
      <c r="AH77" s="242">
        <v>133.92898000000002</v>
      </c>
      <c r="AI77" s="96">
        <f t="shared" si="77"/>
        <v>26.785709999999995</v>
      </c>
    </row>
    <row r="78" spans="1:35" s="3" customFormat="1" ht="31.5">
      <c r="A78" s="158" t="s">
        <v>102</v>
      </c>
      <c r="B78" s="172" t="s">
        <v>46</v>
      </c>
      <c r="C78" s="261" t="s">
        <v>140</v>
      </c>
      <c r="D78" s="283">
        <v>104.93</v>
      </c>
      <c r="E78" s="283">
        <f>726324/1000*E81</f>
        <v>329.17003679999999</v>
      </c>
      <c r="F78" s="252">
        <f t="shared" si="88"/>
        <v>224.24003679999998</v>
      </c>
      <c r="G78" s="252">
        <f t="shared" si="89"/>
        <v>213.70440941580097</v>
      </c>
      <c r="H78" s="283">
        <v>0.72</v>
      </c>
      <c r="I78" s="283">
        <f>726324/1000*I81</f>
        <v>2.2516043999999997</v>
      </c>
      <c r="J78" s="252">
        <f t="shared" si="90"/>
        <v>1.5316043999999998</v>
      </c>
      <c r="K78" s="252">
        <f t="shared" ref="K78" si="115">I78/H78*100-100</f>
        <v>212.72283333333331</v>
      </c>
      <c r="L78" s="283">
        <v>36.700000000000003</v>
      </c>
      <c r="M78" s="283">
        <f>726324/1000*M81</f>
        <v>115.122354</v>
      </c>
      <c r="N78" s="252">
        <f t="shared" si="92"/>
        <v>78.422353999999999</v>
      </c>
      <c r="O78" s="252">
        <f t="shared" ref="O78:O79" si="116">M78/L78*100-100</f>
        <v>213.68488828337871</v>
      </c>
      <c r="P78" s="283">
        <v>48.16</v>
      </c>
      <c r="Q78" s="283">
        <f>726324/1000*Q81</f>
        <v>151.07539199999999</v>
      </c>
      <c r="R78" s="252">
        <f t="shared" si="94"/>
        <v>102.915392</v>
      </c>
      <c r="S78" s="252">
        <f t="shared" ref="S78" si="117">Q78/P78*100-100</f>
        <v>213.69475083056477</v>
      </c>
      <c r="T78" s="283">
        <v>434.96</v>
      </c>
      <c r="U78" s="283">
        <f>726324/1000*U81</f>
        <v>128.70461279999998</v>
      </c>
      <c r="V78" s="252">
        <f t="shared" si="96"/>
        <v>-306.25538719999997</v>
      </c>
      <c r="W78" s="252">
        <f t="shared" si="110"/>
        <v>-70.410011771197361</v>
      </c>
      <c r="X78" s="283">
        <v>1853.8739650520001</v>
      </c>
      <c r="Y78" s="283">
        <f>E78+I78+M78+Q78+U78</f>
        <v>726.32399999999996</v>
      </c>
      <c r="Z78" s="21">
        <v>83.346034947999897</v>
      </c>
      <c r="AA78" s="131">
        <f t="shared" si="99"/>
        <v>-60.821284850417165</v>
      </c>
      <c r="AB78" s="53"/>
      <c r="AC78" s="9"/>
      <c r="AD78" s="53">
        <f t="shared" si="100"/>
        <v>1853.8739650520001</v>
      </c>
      <c r="AE78" s="9">
        <f t="shared" si="87"/>
        <v>726.32399999999996</v>
      </c>
      <c r="AF78" s="21">
        <f t="shared" si="106"/>
        <v>-1127.5499650520001</v>
      </c>
      <c r="AG78" s="54">
        <f t="shared" si="111"/>
        <v>-60.821284850417165</v>
      </c>
      <c r="AH78" s="242">
        <v>726.32399999999996</v>
      </c>
      <c r="AI78" s="96">
        <f t="shared" si="77"/>
        <v>0</v>
      </c>
    </row>
    <row r="79" spans="1:35" s="3" customFormat="1">
      <c r="A79" s="158" t="s">
        <v>103</v>
      </c>
      <c r="B79" s="172" t="s">
        <v>42</v>
      </c>
      <c r="C79" s="261" t="s">
        <v>140</v>
      </c>
      <c r="D79" s="283"/>
      <c r="E79" s="283"/>
      <c r="F79" s="252"/>
      <c r="G79" s="252"/>
      <c r="H79" s="283">
        <v>0</v>
      </c>
      <c r="I79" s="283"/>
      <c r="J79" s="252"/>
      <c r="K79" s="252"/>
      <c r="L79" s="283">
        <v>14771.52</v>
      </c>
      <c r="M79" s="283">
        <f>2012009.84/1000+1255559.63/1000</f>
        <v>3267.5694700000004</v>
      </c>
      <c r="N79" s="252">
        <f t="shared" si="92"/>
        <v>-11503.95053</v>
      </c>
      <c r="O79" s="252">
        <f t="shared" si="116"/>
        <v>-77.8792604281753</v>
      </c>
      <c r="P79" s="283"/>
      <c r="Q79" s="283"/>
      <c r="R79" s="252"/>
      <c r="S79" s="252"/>
      <c r="T79" s="283"/>
      <c r="U79" s="283"/>
      <c r="V79" s="252"/>
      <c r="W79" s="252"/>
      <c r="X79" s="283">
        <v>7450</v>
      </c>
      <c r="Y79" s="283">
        <f t="shared" si="98"/>
        <v>3267.5694700000004</v>
      </c>
      <c r="Z79" s="21">
        <v>0</v>
      </c>
      <c r="AA79" s="131">
        <f t="shared" si="99"/>
        <v>-56.140007114093954</v>
      </c>
      <c r="AB79" s="53"/>
      <c r="AC79" s="9"/>
      <c r="AD79" s="53">
        <f t="shared" si="100"/>
        <v>7450</v>
      </c>
      <c r="AE79" s="9">
        <f t="shared" si="87"/>
        <v>3267.5694700000004</v>
      </c>
      <c r="AF79" s="21">
        <f t="shared" si="106"/>
        <v>-4182.4305299999996</v>
      </c>
      <c r="AG79" s="54">
        <f t="shared" si="111"/>
        <v>-56.140007114093954</v>
      </c>
      <c r="AH79" s="242"/>
      <c r="AI79" s="96"/>
    </row>
    <row r="80" spans="1:35" s="3" customFormat="1">
      <c r="A80" s="158" t="s">
        <v>104</v>
      </c>
      <c r="B80" s="172" t="s">
        <v>45</v>
      </c>
      <c r="C80" s="261" t="s">
        <v>140</v>
      </c>
      <c r="D80" s="283"/>
      <c r="E80" s="283"/>
      <c r="F80" s="252"/>
      <c r="G80" s="252"/>
      <c r="H80" s="283">
        <v>185.8</v>
      </c>
      <c r="I80" s="283"/>
      <c r="J80" s="252"/>
      <c r="K80" s="252"/>
      <c r="L80" s="283"/>
      <c r="M80" s="283"/>
      <c r="N80" s="252"/>
      <c r="O80" s="252"/>
      <c r="P80" s="283"/>
      <c r="Q80" s="283"/>
      <c r="R80" s="252"/>
      <c r="S80" s="252"/>
      <c r="T80" s="283"/>
      <c r="U80" s="283"/>
      <c r="V80" s="252"/>
      <c r="W80" s="252"/>
      <c r="X80" s="283">
        <v>80.483000000000004</v>
      </c>
      <c r="Y80" s="283">
        <f t="shared" si="98"/>
        <v>0</v>
      </c>
      <c r="Z80" s="21">
        <v>-3.0000000000001137E-3</v>
      </c>
      <c r="AA80" s="131">
        <f t="shared" si="99"/>
        <v>-100</v>
      </c>
      <c r="AB80" s="53"/>
      <c r="AC80" s="9"/>
      <c r="AD80" s="53">
        <f t="shared" si="100"/>
        <v>80.483000000000004</v>
      </c>
      <c r="AE80" s="9">
        <f t="shared" si="87"/>
        <v>0</v>
      </c>
      <c r="AF80" s="21">
        <f t="shared" si="106"/>
        <v>-80.483000000000004</v>
      </c>
      <c r="AG80" s="54">
        <f t="shared" si="111"/>
        <v>-100</v>
      </c>
      <c r="AH80" s="242"/>
      <c r="AI80" s="96"/>
    </row>
    <row r="81" spans="1:35" s="39" customFormat="1">
      <c r="A81" s="161"/>
      <c r="B81" s="174" t="s">
        <v>126</v>
      </c>
      <c r="C81" s="263" t="s">
        <v>140</v>
      </c>
      <c r="D81" s="289"/>
      <c r="E81" s="289">
        <v>0.45319999999999999</v>
      </c>
      <c r="F81" s="290"/>
      <c r="G81" s="291"/>
      <c r="H81" s="289"/>
      <c r="I81" s="301">
        <v>3.0999999999999999E-3</v>
      </c>
      <c r="J81" s="290"/>
      <c r="K81" s="291"/>
      <c r="L81" s="289"/>
      <c r="M81" s="289">
        <v>0.1585</v>
      </c>
      <c r="N81" s="290"/>
      <c r="O81" s="291"/>
      <c r="P81" s="289"/>
      <c r="Q81" s="289">
        <v>0.20799999999999999</v>
      </c>
      <c r="R81" s="290"/>
      <c r="S81" s="291"/>
      <c r="T81" s="289"/>
      <c r="U81" s="292">
        <v>0.1772</v>
      </c>
      <c r="V81" s="290"/>
      <c r="W81" s="291"/>
      <c r="X81" s="292"/>
      <c r="Y81" s="292"/>
      <c r="Z81" s="76"/>
      <c r="AA81" s="131"/>
      <c r="AB81" s="68"/>
      <c r="AC81" s="38"/>
      <c r="AD81" s="69">
        <f>X81+AB81</f>
        <v>0</v>
      </c>
      <c r="AE81" s="26"/>
      <c r="AF81" s="21"/>
      <c r="AG81" s="54"/>
      <c r="AH81" s="242"/>
      <c r="AI81" s="96"/>
    </row>
    <row r="82" spans="1:35">
      <c r="A82" s="157" t="s">
        <v>155</v>
      </c>
      <c r="B82" s="169" t="s">
        <v>47</v>
      </c>
      <c r="C82" s="257"/>
      <c r="D82" s="280"/>
      <c r="E82" s="280"/>
      <c r="F82" s="281"/>
      <c r="G82" s="282"/>
      <c r="H82" s="280"/>
      <c r="I82" s="280"/>
      <c r="J82" s="281"/>
      <c r="K82" s="282"/>
      <c r="L82" s="280"/>
      <c r="M82" s="280"/>
      <c r="N82" s="281"/>
      <c r="O82" s="282"/>
      <c r="P82" s="280"/>
      <c r="Q82" s="280"/>
      <c r="R82" s="281"/>
      <c r="S82" s="282"/>
      <c r="T82" s="280"/>
      <c r="U82" s="280"/>
      <c r="V82" s="281"/>
      <c r="W82" s="282"/>
      <c r="X82" s="280"/>
      <c r="Y82" s="280"/>
      <c r="Z82" s="31"/>
      <c r="AA82" s="31"/>
      <c r="AB82" s="44"/>
      <c r="AC82" s="11"/>
      <c r="AD82" s="44"/>
      <c r="AE82" s="11"/>
      <c r="AF82" s="31">
        <f>AE82-AD82</f>
        <v>0</v>
      </c>
      <c r="AG82" s="61"/>
      <c r="AH82" s="242"/>
      <c r="AI82" s="96"/>
    </row>
    <row r="83" spans="1:35">
      <c r="A83" s="159" t="s">
        <v>48</v>
      </c>
      <c r="B83" s="173" t="s">
        <v>49</v>
      </c>
      <c r="C83" s="260" t="s">
        <v>140</v>
      </c>
      <c r="D83" s="277">
        <f>D20+D47</f>
        <v>1503931.875</v>
      </c>
      <c r="E83" s="277">
        <f>E20+E47</f>
        <v>636414.154460944</v>
      </c>
      <c r="F83" s="278">
        <f t="shared" si="9"/>
        <v>-867517.720539056</v>
      </c>
      <c r="G83" s="279">
        <f t="shared" si="14"/>
        <v>-57.683312320184449</v>
      </c>
      <c r="H83" s="277">
        <f>H20+H47</f>
        <v>1087859.94</v>
      </c>
      <c r="I83" s="277">
        <f>I20+I47</f>
        <v>733733.60303985211</v>
      </c>
      <c r="J83" s="278">
        <f t="shared" ref="J83:J85" si="118">I83-H83</f>
        <v>-354126.33696014783</v>
      </c>
      <c r="K83" s="279">
        <f t="shared" ref="K83:K85" si="119">I83/H83*100-100</f>
        <v>-32.552567103458912</v>
      </c>
      <c r="L83" s="277">
        <f>L20+L47</f>
        <v>1256038.19</v>
      </c>
      <c r="M83" s="277">
        <f>M20+M47</f>
        <v>580187.04277081997</v>
      </c>
      <c r="N83" s="278">
        <f t="shared" ref="N83:N84" si="120">M83-L83</f>
        <v>-675851.14722917997</v>
      </c>
      <c r="O83" s="279">
        <f t="shared" ref="O83:O84" si="121">M83/L83*100-100</f>
        <v>-53.808168621782116</v>
      </c>
      <c r="P83" s="277">
        <f>P20+P47</f>
        <v>770003.41999999993</v>
      </c>
      <c r="Q83" s="277">
        <f>Q20+Q47</f>
        <v>240800.73964136001</v>
      </c>
      <c r="R83" s="278">
        <f t="shared" ref="R83:R84" si="122">Q83-P83</f>
        <v>-529202.68035863992</v>
      </c>
      <c r="S83" s="279">
        <f t="shared" ref="S83:S84" si="123">Q83/P83*100-100</f>
        <v>-68.727315569408773</v>
      </c>
      <c r="T83" s="277">
        <f>T20+T47</f>
        <v>580933.70000000007</v>
      </c>
      <c r="U83" s="277">
        <f>U20+U47</f>
        <v>302646.96301702404</v>
      </c>
      <c r="V83" s="278">
        <f t="shared" ref="V83" si="124">U83-T83</f>
        <v>-278286.73698297603</v>
      </c>
      <c r="W83" s="279">
        <f t="shared" ref="W83" si="125">U83/T83*100-100</f>
        <v>-47.903355750058232</v>
      </c>
      <c r="X83" s="277">
        <f>X20+X47</f>
        <v>5170388.000391948</v>
      </c>
      <c r="Y83" s="277">
        <f>Y20+Y47</f>
        <v>2493782.5029300004</v>
      </c>
      <c r="Z83" s="30">
        <f>Y83-X83</f>
        <v>-2676605.4974619476</v>
      </c>
      <c r="AA83" s="30">
        <f>Y83/X83*100-100</f>
        <v>-51.767981382810035</v>
      </c>
      <c r="AB83" s="43">
        <f>AB87</f>
        <v>256332.14</v>
      </c>
      <c r="AC83" s="10">
        <f>AC20+AC47</f>
        <v>704941.21</v>
      </c>
      <c r="AD83" s="43">
        <f>AD20+AD47</f>
        <v>5426720.1403919486</v>
      </c>
      <c r="AE83" s="10" t="e">
        <f>AE20+AE47</f>
        <v>#REF!</v>
      </c>
      <c r="AF83" s="30" t="e">
        <f>AE83-AD83</f>
        <v>#REF!</v>
      </c>
      <c r="AG83" s="62" t="e">
        <f>AE83/AD83*100-100</f>
        <v>#REF!</v>
      </c>
      <c r="AH83" s="242"/>
    </row>
    <row r="84" spans="1:35" s="36" customFormat="1">
      <c r="A84" s="158" t="s">
        <v>50</v>
      </c>
      <c r="B84" s="170" t="s">
        <v>156</v>
      </c>
      <c r="C84" s="255" t="s">
        <v>140</v>
      </c>
      <c r="D84" s="293">
        <v>34443.760000000002</v>
      </c>
      <c r="E84" s="293">
        <v>0</v>
      </c>
      <c r="F84" s="294">
        <f t="shared" si="9"/>
        <v>-34443.760000000002</v>
      </c>
      <c r="G84" s="294">
        <f t="shared" si="14"/>
        <v>-100</v>
      </c>
      <c r="H84" s="293">
        <v>1137.3</v>
      </c>
      <c r="I84" s="293"/>
      <c r="J84" s="294">
        <f t="shared" si="118"/>
        <v>-1137.3</v>
      </c>
      <c r="K84" s="294">
        <f t="shared" si="119"/>
        <v>-100</v>
      </c>
      <c r="L84" s="293">
        <v>10717.63</v>
      </c>
      <c r="M84" s="293"/>
      <c r="N84" s="294">
        <f t="shared" si="120"/>
        <v>-10717.63</v>
      </c>
      <c r="O84" s="294">
        <f t="shared" si="121"/>
        <v>-100</v>
      </c>
      <c r="P84" s="293">
        <v>25343.02</v>
      </c>
      <c r="Q84" s="293"/>
      <c r="R84" s="294">
        <f t="shared" si="122"/>
        <v>-25343.02</v>
      </c>
      <c r="S84" s="294">
        <f t="shared" si="123"/>
        <v>-100</v>
      </c>
      <c r="T84" s="293"/>
      <c r="U84" s="293"/>
      <c r="V84" s="294"/>
      <c r="W84" s="294"/>
      <c r="X84" s="293">
        <f>D84+H84+L84+P84+T84</f>
        <v>71641.710000000006</v>
      </c>
      <c r="Y84" s="293">
        <f>E84+I84+M84+Q84</f>
        <v>0</v>
      </c>
      <c r="Z84" s="85">
        <f>Y84-X84</f>
        <v>-71641.710000000006</v>
      </c>
      <c r="AA84" s="85">
        <f>Y84/X84*100-100</f>
        <v>-100</v>
      </c>
      <c r="AB84" s="56"/>
      <c r="AC84" s="13"/>
      <c r="AD84" s="53">
        <f>X84+AB84</f>
        <v>71641.710000000006</v>
      </c>
      <c r="AE84" s="9">
        <f>Y84+AC84</f>
        <v>0</v>
      </c>
      <c r="AF84" s="21">
        <f>AE84-AD84</f>
        <v>-71641.710000000006</v>
      </c>
      <c r="AG84" s="54">
        <f>AE84/AD84*100-100</f>
        <v>-100</v>
      </c>
      <c r="AH84" s="242"/>
    </row>
    <row r="85" spans="1:35" s="36" customFormat="1" ht="31.5">
      <c r="A85" s="302" t="s">
        <v>105</v>
      </c>
      <c r="B85" s="171" t="s">
        <v>106</v>
      </c>
      <c r="C85" s="259" t="s">
        <v>140</v>
      </c>
      <c r="D85" s="293">
        <v>1597297.95</v>
      </c>
      <c r="E85" s="283"/>
      <c r="F85" s="252">
        <f t="shared" si="9"/>
        <v>-1597297.95</v>
      </c>
      <c r="G85" s="252">
        <f t="shared" si="14"/>
        <v>-100</v>
      </c>
      <c r="H85" s="283">
        <v>5066.2700000000004</v>
      </c>
      <c r="I85" s="283"/>
      <c r="J85" s="252">
        <f t="shared" si="118"/>
        <v>-5066.2700000000004</v>
      </c>
      <c r="K85" s="252">
        <f t="shared" si="119"/>
        <v>-100</v>
      </c>
      <c r="L85" s="293"/>
      <c r="M85" s="283"/>
      <c r="N85" s="252"/>
      <c r="O85" s="252"/>
      <c r="P85" s="293">
        <v>714529.95</v>
      </c>
      <c r="Q85" s="283"/>
      <c r="R85" s="252"/>
      <c r="S85" s="252"/>
      <c r="T85" s="283">
        <v>1051976.7</v>
      </c>
      <c r="U85" s="283"/>
      <c r="V85" s="252"/>
      <c r="W85" s="252"/>
      <c r="X85" s="283">
        <f>D85+H85+L85+P85+T85</f>
        <v>3368870.87</v>
      </c>
      <c r="Y85" s="293"/>
      <c r="Z85" s="85">
        <f>Y85-X85</f>
        <v>-3368870.87</v>
      </c>
      <c r="AA85" s="85">
        <f>Y85/X85*100-100</f>
        <v>-100</v>
      </c>
      <c r="AB85" s="53"/>
      <c r="AC85" s="9"/>
      <c r="AD85" s="53">
        <f>X85+AB85</f>
        <v>3368870.87</v>
      </c>
      <c r="AE85" s="9">
        <f>Y85+AC85</f>
        <v>0</v>
      </c>
      <c r="AF85" s="21">
        <f>AE85-AD85</f>
        <v>-3368870.87</v>
      </c>
      <c r="AG85" s="54">
        <f>AE85/AD85*100-100</f>
        <v>-100</v>
      </c>
      <c r="AH85" s="242"/>
    </row>
    <row r="86" spans="1:35" s="138" customFormat="1">
      <c r="A86" s="162"/>
      <c r="B86" s="175"/>
      <c r="C86" s="264"/>
      <c r="D86" s="295"/>
      <c r="E86" s="296"/>
      <c r="F86" s="297"/>
      <c r="G86" s="297"/>
      <c r="H86" s="296"/>
      <c r="I86" s="296"/>
      <c r="J86" s="297"/>
      <c r="K86" s="297"/>
      <c r="L86" s="295"/>
      <c r="M86" s="296"/>
      <c r="N86" s="297"/>
      <c r="O86" s="297"/>
      <c r="P86" s="295"/>
      <c r="Q86" s="296"/>
      <c r="R86" s="297"/>
      <c r="S86" s="297"/>
      <c r="T86" s="296"/>
      <c r="U86" s="296"/>
      <c r="V86" s="297"/>
      <c r="W86" s="297"/>
      <c r="X86" s="296"/>
      <c r="Y86" s="298"/>
      <c r="Z86" s="135"/>
      <c r="AA86" s="135"/>
      <c r="AB86" s="134"/>
      <c r="AC86" s="133"/>
      <c r="AD86" s="134"/>
      <c r="AE86" s="139"/>
      <c r="AF86" s="136"/>
      <c r="AG86" s="137"/>
      <c r="AH86" s="242"/>
    </row>
    <row r="87" spans="1:35">
      <c r="A87" s="159" t="s">
        <v>51</v>
      </c>
      <c r="B87" s="173" t="s">
        <v>52</v>
      </c>
      <c r="C87" s="260" t="s">
        <v>140</v>
      </c>
      <c r="D87" s="277">
        <f>D83+D84</f>
        <v>1538375.635</v>
      </c>
      <c r="E87" s="277">
        <f>E83+E84+E86</f>
        <v>636414.154460944</v>
      </c>
      <c r="F87" s="278">
        <f t="shared" ref="F87:F100" si="126">E87-D87</f>
        <v>-901961.48053905601</v>
      </c>
      <c r="G87" s="279">
        <f t="shared" si="14"/>
        <v>-58.630770016001712</v>
      </c>
      <c r="H87" s="277">
        <f>H83+H84</f>
        <v>1088997.24</v>
      </c>
      <c r="I87" s="277">
        <f>I83+I84+I86</f>
        <v>733733.60303985211</v>
      </c>
      <c r="J87" s="278">
        <f t="shared" ref="J87:J92" si="127">I87-H87</f>
        <v>-355263.63696014788</v>
      </c>
      <c r="K87" s="279">
        <f t="shared" ref="K87:K92" si="128">I87/H87*100-100</f>
        <v>-32.623006185043025</v>
      </c>
      <c r="L87" s="277">
        <f>L83+L84</f>
        <v>1266755.8199999998</v>
      </c>
      <c r="M87" s="277">
        <f>M83+M84+M86</f>
        <v>580187.04277081997</v>
      </c>
      <c r="N87" s="278">
        <f t="shared" ref="N87:N92" si="129">M87-L87</f>
        <v>-686568.77722917986</v>
      </c>
      <c r="O87" s="279">
        <f t="shared" ref="O87:O92" si="130">M87/L87*100-100</f>
        <v>-54.198983449642249</v>
      </c>
      <c r="P87" s="277">
        <f>P83+P84</f>
        <v>795346.44</v>
      </c>
      <c r="Q87" s="277">
        <f>Q83+Q84+Q86</f>
        <v>240800.73964136001</v>
      </c>
      <c r="R87" s="278">
        <f t="shared" ref="R87:R92" si="131">Q87-P87</f>
        <v>-554545.70035863994</v>
      </c>
      <c r="S87" s="279">
        <f t="shared" ref="S87:S92" si="132">Q87/P87*100-100</f>
        <v>-69.723792358791471</v>
      </c>
      <c r="T87" s="277">
        <f>T83+T84</f>
        <v>580933.70000000007</v>
      </c>
      <c r="U87" s="277">
        <f>U83+U84+U86</f>
        <v>302646.96301702404</v>
      </c>
      <c r="V87" s="278">
        <f t="shared" ref="V87:V92" si="133">U87-T87</f>
        <v>-278286.73698297603</v>
      </c>
      <c r="W87" s="279">
        <f t="shared" ref="W87:W92" si="134">U87/T87*100-100</f>
        <v>-47.903355750058232</v>
      </c>
      <c r="X87" s="277">
        <f>X83+X84</f>
        <v>5242029.710391948</v>
      </c>
      <c r="Y87" s="277">
        <f>Y83+Y84+Y86</f>
        <v>2493782.5029300004</v>
      </c>
      <c r="Z87" s="30">
        <f>Y87-X87</f>
        <v>-2748247.2074619476</v>
      </c>
      <c r="AA87" s="30">
        <f>Y87/X87*100-100</f>
        <v>-52.427158167641522</v>
      </c>
      <c r="AB87" s="43">
        <v>256332.14</v>
      </c>
      <c r="AC87" s="10">
        <f>AC83+AC84</f>
        <v>704941.21</v>
      </c>
      <c r="AD87" s="43">
        <f>AD83+AD84</f>
        <v>5498361.8503919486</v>
      </c>
      <c r="AE87" s="10" t="e">
        <f>AE83+AE84+AE86</f>
        <v>#REF!</v>
      </c>
      <c r="AF87" s="30" t="e">
        <f>AE87-AD87</f>
        <v>#REF!</v>
      </c>
      <c r="AG87" s="62" t="e">
        <f>AE87/AD87*100-100</f>
        <v>#REF!</v>
      </c>
      <c r="AH87" s="242">
        <f>51139983.27/1000</f>
        <v>51139.983270000004</v>
      </c>
    </row>
    <row r="88" spans="1:35" ht="31.5">
      <c r="A88" s="302" t="s">
        <v>53</v>
      </c>
      <c r="B88" s="171" t="s">
        <v>54</v>
      </c>
      <c r="C88" s="150" t="s">
        <v>157</v>
      </c>
      <c r="D88" s="142">
        <v>1029.23</v>
      </c>
      <c r="E88" s="9">
        <f>668558.94/1000</f>
        <v>668.55893999999989</v>
      </c>
      <c r="F88" s="21">
        <f t="shared" si="126"/>
        <v>-360.67106000000013</v>
      </c>
      <c r="G88" s="55">
        <f t="shared" ref="G88:G100" si="135">E88/D88*100-100</f>
        <v>-35.04280481525025</v>
      </c>
      <c r="H88" s="101">
        <v>1029.23</v>
      </c>
      <c r="I88" s="9">
        <f>668558.94/1000</f>
        <v>668.55893999999989</v>
      </c>
      <c r="J88" s="21">
        <f t="shared" si="127"/>
        <v>-360.67106000000013</v>
      </c>
      <c r="K88" s="55">
        <f t="shared" si="128"/>
        <v>-35.04280481525025</v>
      </c>
      <c r="L88" s="110">
        <v>6674.27</v>
      </c>
      <c r="M88" s="107">
        <f>3089427.06/1000</f>
        <v>3089.42706</v>
      </c>
      <c r="N88" s="21">
        <f t="shared" si="129"/>
        <v>-3584.8429400000005</v>
      </c>
      <c r="O88" s="55">
        <f t="shared" si="130"/>
        <v>-53.711386263965949</v>
      </c>
      <c r="P88" s="110">
        <v>21817.200000000001</v>
      </c>
      <c r="Q88" s="107">
        <f>11930755.89/1000</f>
        <v>11930.75589</v>
      </c>
      <c r="R88" s="21">
        <f t="shared" si="131"/>
        <v>-9886.4441100000004</v>
      </c>
      <c r="S88" s="55">
        <f t="shared" si="132"/>
        <v>-45.314908008360376</v>
      </c>
      <c r="T88" s="110">
        <v>243264.33</v>
      </c>
      <c r="U88" s="107">
        <f>121503548.025/1000</f>
        <v>121503.54802500001</v>
      </c>
      <c r="V88" s="21">
        <f t="shared" si="133"/>
        <v>-121760.78197499998</v>
      </c>
      <c r="W88" s="55">
        <f t="shared" si="134"/>
        <v>-50.052871284088376</v>
      </c>
      <c r="X88" s="53"/>
      <c r="Y88" s="9"/>
      <c r="Z88" s="21"/>
      <c r="AA88" s="21"/>
      <c r="AB88" s="129">
        <v>2307.61</v>
      </c>
      <c r="AC88" s="107">
        <v>2307.61</v>
      </c>
      <c r="AD88" s="53"/>
      <c r="AE88" s="9"/>
      <c r="AF88" s="21"/>
      <c r="AG88" s="54"/>
      <c r="AH88" s="242">
        <f>Y87+AH87</f>
        <v>2544922.4862000006</v>
      </c>
      <c r="AI88" s="242"/>
    </row>
    <row r="89" spans="1:35" ht="18.75">
      <c r="A89" s="371" t="s">
        <v>107</v>
      </c>
      <c r="B89" s="372" t="s">
        <v>108</v>
      </c>
      <c r="C89" s="150" t="s">
        <v>109</v>
      </c>
      <c r="D89" s="142">
        <v>20</v>
      </c>
      <c r="E89" s="9">
        <v>20</v>
      </c>
      <c r="F89" s="21">
        <f t="shared" si="126"/>
        <v>0</v>
      </c>
      <c r="G89" s="55">
        <f t="shared" si="135"/>
        <v>0</v>
      </c>
      <c r="H89" s="102"/>
      <c r="I89" s="9"/>
      <c r="J89" s="21">
        <f t="shared" si="127"/>
        <v>0</v>
      </c>
      <c r="K89" s="55"/>
      <c r="L89" s="110">
        <v>12.93</v>
      </c>
      <c r="M89" s="107"/>
      <c r="N89" s="21">
        <f t="shared" si="129"/>
        <v>-12.93</v>
      </c>
      <c r="O89" s="55">
        <f t="shared" si="130"/>
        <v>-100</v>
      </c>
      <c r="P89" s="110"/>
      <c r="Q89" s="107"/>
      <c r="R89" s="21">
        <f t="shared" si="131"/>
        <v>0</v>
      </c>
      <c r="S89" s="55"/>
      <c r="T89" s="110">
        <v>11</v>
      </c>
      <c r="U89" s="107">
        <v>11</v>
      </c>
      <c r="V89" s="21">
        <f t="shared" si="133"/>
        <v>0</v>
      </c>
      <c r="W89" s="55"/>
      <c r="X89" s="53"/>
      <c r="Y89" s="9"/>
      <c r="Z89" s="21"/>
      <c r="AA89" s="21"/>
      <c r="AB89" s="53"/>
      <c r="AC89" s="9"/>
      <c r="AD89" s="53">
        <f>X89+AB89</f>
        <v>0</v>
      </c>
      <c r="AE89" s="9"/>
      <c r="AF89" s="21"/>
      <c r="AG89" s="54"/>
      <c r="AH89" s="244">
        <f>164012721.37/1000</f>
        <v>164012.72137000001</v>
      </c>
      <c r="AI89" s="83"/>
    </row>
    <row r="90" spans="1:35" ht="18.75">
      <c r="A90" s="371"/>
      <c r="B90" s="372"/>
      <c r="C90" s="150" t="s">
        <v>157</v>
      </c>
      <c r="D90" s="142">
        <v>277.79000000000002</v>
      </c>
      <c r="E90" s="9">
        <f>E88*0.2</f>
        <v>133.71178799999998</v>
      </c>
      <c r="F90" s="21">
        <f t="shared" si="126"/>
        <v>-144.07821200000004</v>
      </c>
      <c r="G90" s="55">
        <f t="shared" si="135"/>
        <v>-51.865874221534263</v>
      </c>
      <c r="H90" s="102"/>
      <c r="I90" s="9"/>
      <c r="J90" s="21">
        <f t="shared" si="127"/>
        <v>0</v>
      </c>
      <c r="K90" s="55"/>
      <c r="L90" s="110">
        <v>1026.1400000000001</v>
      </c>
      <c r="M90" s="107" t="e">
        <f>#REF!/1000-отведение!M88</f>
        <v>#REF!</v>
      </c>
      <c r="N90" s="21" t="e">
        <f t="shared" si="129"/>
        <v>#REF!</v>
      </c>
      <c r="O90" s="55" t="e">
        <f t="shared" si="130"/>
        <v>#REF!</v>
      </c>
      <c r="P90" s="110"/>
      <c r="Q90" s="107"/>
      <c r="R90" s="21">
        <f t="shared" si="131"/>
        <v>0</v>
      </c>
      <c r="S90" s="55"/>
      <c r="T90" s="110">
        <v>26263.06</v>
      </c>
      <c r="U90" s="110">
        <v>15972.517795000012</v>
      </c>
      <c r="V90" s="21">
        <f t="shared" si="133"/>
        <v>-10290.542204999989</v>
      </c>
      <c r="W90" s="55">
        <f t="shared" si="134"/>
        <v>-39.182571280726577</v>
      </c>
      <c r="X90" s="53"/>
      <c r="Y90" s="9"/>
      <c r="Z90" s="21"/>
      <c r="AA90" s="21"/>
      <c r="AB90" s="53"/>
      <c r="AC90" s="9"/>
      <c r="AD90" s="53">
        <f>X90+AB90</f>
        <v>0</v>
      </c>
      <c r="AE90" s="9"/>
      <c r="AF90" s="21"/>
      <c r="AG90" s="54"/>
      <c r="AH90" s="242">
        <f>AH89-AH88</f>
        <v>-2380909.7648300007</v>
      </c>
      <c r="AI90" s="83"/>
    </row>
    <row r="91" spans="1:35" ht="18.75" hidden="1">
      <c r="A91" s="302"/>
      <c r="B91" s="303" t="s">
        <v>158</v>
      </c>
      <c r="C91" s="150"/>
      <c r="D91" s="142">
        <v>42034.41</v>
      </c>
      <c r="E91" s="9">
        <v>66455.186475660215</v>
      </c>
      <c r="F91" s="21">
        <f t="shared" si="126"/>
        <v>24420.776475660212</v>
      </c>
      <c r="G91" s="55">
        <f t="shared" si="135"/>
        <v>58.097107763996689</v>
      </c>
      <c r="H91" s="102">
        <v>107272.69</v>
      </c>
      <c r="I91" s="9"/>
      <c r="J91" s="21">
        <f t="shared" si="127"/>
        <v>-107272.69</v>
      </c>
      <c r="K91" s="55">
        <f t="shared" si="128"/>
        <v>-100</v>
      </c>
      <c r="L91" s="110">
        <v>5533.09</v>
      </c>
      <c r="M91" s="107">
        <v>2120.5350515999371</v>
      </c>
      <c r="N91" s="21">
        <f t="shared" si="129"/>
        <v>-3412.554948400063</v>
      </c>
      <c r="O91" s="55">
        <f t="shared" si="130"/>
        <v>-61.675392021457505</v>
      </c>
      <c r="P91" s="110">
        <v>108911.36</v>
      </c>
      <c r="Q91" s="107">
        <v>173808.46754416963</v>
      </c>
      <c r="R91" s="21">
        <f t="shared" si="131"/>
        <v>64897.10754416963</v>
      </c>
      <c r="S91" s="55">
        <f t="shared" si="132"/>
        <v>59.587087650149272</v>
      </c>
      <c r="T91" s="110"/>
      <c r="U91" s="107"/>
      <c r="V91" s="21">
        <f t="shared" si="133"/>
        <v>0</v>
      </c>
      <c r="W91" s="55" t="e">
        <f t="shared" si="134"/>
        <v>#DIV/0!</v>
      </c>
      <c r="X91" s="53"/>
      <c r="Y91" s="12"/>
      <c r="Z91" s="41"/>
      <c r="AA91" s="41"/>
      <c r="AB91" s="67"/>
      <c r="AC91" s="12"/>
      <c r="AD91" s="53">
        <f>X91+AB91</f>
        <v>0</v>
      </c>
      <c r="AE91" s="9">
        <f>Y91+AC91</f>
        <v>0</v>
      </c>
      <c r="AF91" s="21">
        <f>AE91-AD91</f>
        <v>0</v>
      </c>
      <c r="AG91" s="54" t="e">
        <f>AE91/AD91*100-100</f>
        <v>#DIV/0!</v>
      </c>
      <c r="AH91" s="242"/>
    </row>
    <row r="92" spans="1:35">
      <c r="A92" s="163" t="s">
        <v>55</v>
      </c>
      <c r="B92" s="176" t="s">
        <v>56</v>
      </c>
      <c r="C92" s="151" t="s">
        <v>172</v>
      </c>
      <c r="D92" s="143">
        <f>(D87-D91)/D88</f>
        <v>1453.845326117583</v>
      </c>
      <c r="E92" s="14">
        <f>(E87-E91)/E88</f>
        <v>852.51865450379569</v>
      </c>
      <c r="F92" s="32">
        <f t="shared" si="126"/>
        <v>-601.32667161378731</v>
      </c>
      <c r="G92" s="57">
        <f t="shared" si="135"/>
        <v>-41.361117363124066</v>
      </c>
      <c r="H92" s="45">
        <f>(H87-H91)/H88</f>
        <v>953.84369868736826</v>
      </c>
      <c r="I92" s="14">
        <f>(I87-I91)/I88</f>
        <v>1097.485291334003</v>
      </c>
      <c r="J92" s="32">
        <f t="shared" si="127"/>
        <v>143.64159264663476</v>
      </c>
      <c r="K92" s="57">
        <f t="shared" si="128"/>
        <v>15.059237990910574</v>
      </c>
      <c r="L92" s="111">
        <f>(L87-L91)/L88</f>
        <v>188.9678916196078</v>
      </c>
      <c r="M92" s="112">
        <f>(M87-M91)/M88</f>
        <v>187.11123340753673</v>
      </c>
      <c r="N92" s="32">
        <f t="shared" si="129"/>
        <v>-1.8566582120710677</v>
      </c>
      <c r="O92" s="57">
        <f t="shared" si="130"/>
        <v>-0.98252575935414654</v>
      </c>
      <c r="P92" s="111">
        <f>(P87-P91)/P88</f>
        <v>31.463023669398453</v>
      </c>
      <c r="Q92" s="112">
        <f>(Q87-Q91)/Q88</f>
        <v>5.6150903358387607</v>
      </c>
      <c r="R92" s="32">
        <f t="shared" si="131"/>
        <v>-25.847933333559691</v>
      </c>
      <c r="S92" s="57">
        <f t="shared" si="132"/>
        <v>-82.153367092622744</v>
      </c>
      <c r="T92" s="111">
        <f>T87/T88</f>
        <v>2.388075966583346</v>
      </c>
      <c r="U92" s="112">
        <f>(U87)/U88</f>
        <v>2.4908487689162198</v>
      </c>
      <c r="V92" s="32">
        <f t="shared" si="133"/>
        <v>0.10277280233287378</v>
      </c>
      <c r="W92" s="57">
        <f t="shared" si="134"/>
        <v>4.303581785964397</v>
      </c>
      <c r="X92" s="45"/>
      <c r="Y92" s="14"/>
      <c r="Z92" s="32"/>
      <c r="AA92" s="32"/>
      <c r="AB92" s="45">
        <f>AB87/AB88</f>
        <v>111.08122256360477</v>
      </c>
      <c r="AC92" s="14">
        <f>AC87/AC88</f>
        <v>305.48541997997927</v>
      </c>
      <c r="AD92" s="45"/>
      <c r="AE92" s="14"/>
      <c r="AF92" s="32"/>
      <c r="AG92" s="63"/>
      <c r="AH92" s="242"/>
    </row>
    <row r="93" spans="1:35" hidden="1">
      <c r="A93" s="152" t="s">
        <v>57</v>
      </c>
      <c r="B93" s="152"/>
      <c r="C93" s="152"/>
      <c r="D93" s="140" t="s">
        <v>175</v>
      </c>
      <c r="E93" s="9"/>
      <c r="F93" s="21" t="e">
        <f t="shared" si="126"/>
        <v>#VALUE!</v>
      </c>
      <c r="G93" s="55" t="e">
        <f t="shared" si="135"/>
        <v>#VALUE!</v>
      </c>
      <c r="H93" s="53"/>
      <c r="I93" s="9"/>
      <c r="J93" s="21"/>
      <c r="K93" s="54"/>
      <c r="L93" s="110"/>
      <c r="M93" s="107"/>
      <c r="N93" s="108"/>
      <c r="O93" s="109"/>
      <c r="P93" s="110"/>
      <c r="Q93" s="107"/>
      <c r="R93" s="108"/>
      <c r="S93" s="109"/>
      <c r="T93" s="110"/>
      <c r="U93" s="107"/>
      <c r="V93" s="108"/>
      <c r="W93" s="109"/>
      <c r="X93" s="53"/>
      <c r="Y93" s="9"/>
      <c r="Z93" s="21"/>
      <c r="AA93" s="21"/>
      <c r="AB93" s="53"/>
      <c r="AC93" s="9"/>
      <c r="AD93" s="53"/>
      <c r="AE93" s="9"/>
      <c r="AF93" s="21"/>
      <c r="AG93" s="54"/>
      <c r="AH93" s="242"/>
    </row>
    <row r="94" spans="1:35" ht="31.5" hidden="1">
      <c r="A94" s="157">
        <v>8</v>
      </c>
      <c r="B94" s="169" t="s">
        <v>58</v>
      </c>
      <c r="C94" s="149" t="s">
        <v>59</v>
      </c>
      <c r="D94" s="144">
        <f>D96+D97</f>
        <v>214.63000000000002</v>
      </c>
      <c r="E94" s="15">
        <f>E96+E97</f>
        <v>0</v>
      </c>
      <c r="F94" s="33">
        <f t="shared" si="126"/>
        <v>-214.63000000000002</v>
      </c>
      <c r="G94" s="58">
        <f t="shared" si="135"/>
        <v>-100</v>
      </c>
      <c r="H94" s="46">
        <v>26</v>
      </c>
      <c r="I94" s="15">
        <f>I96+I97</f>
        <v>0</v>
      </c>
      <c r="J94" s="33">
        <f>I94-H94</f>
        <v>-26</v>
      </c>
      <c r="K94" s="64">
        <f>I94/H94*100-100</f>
        <v>-100</v>
      </c>
      <c r="L94" s="113">
        <v>149.15</v>
      </c>
      <c r="M94" s="114">
        <f>M96+M97</f>
        <v>0</v>
      </c>
      <c r="N94" s="115">
        <f>M94-L94</f>
        <v>-149.15</v>
      </c>
      <c r="O94" s="116">
        <f>M94/L94*100-100</f>
        <v>-100</v>
      </c>
      <c r="P94" s="113">
        <v>132.38</v>
      </c>
      <c r="Q94" s="114">
        <f>Q96+Q97</f>
        <v>0</v>
      </c>
      <c r="R94" s="115">
        <f>Q94-P94</f>
        <v>-132.38</v>
      </c>
      <c r="S94" s="116">
        <f>Q94/P94*100-100</f>
        <v>-100</v>
      </c>
      <c r="T94" s="113">
        <f>T96+T97</f>
        <v>151.97</v>
      </c>
      <c r="U94" s="114">
        <f>U96+U97</f>
        <v>0</v>
      </c>
      <c r="V94" s="115">
        <f>U94-T94</f>
        <v>-151.97</v>
      </c>
      <c r="W94" s="116">
        <f>U94/T94*100-100</f>
        <v>-100</v>
      </c>
      <c r="X94" s="46">
        <f>X96+X97</f>
        <v>674.13</v>
      </c>
      <c r="Y94" s="15">
        <f>Y96+Y97</f>
        <v>0</v>
      </c>
      <c r="Z94" s="33">
        <f t="shared" ref="Z94:Z100" si="136">Y94-X94</f>
        <v>-674.13</v>
      </c>
      <c r="AA94" s="33">
        <f>Y94/X94*100-100</f>
        <v>-100</v>
      </c>
      <c r="AB94" s="46"/>
      <c r="AC94" s="15"/>
      <c r="AD94" s="218">
        <f>AD96+AD97</f>
        <v>674.13</v>
      </c>
      <c r="AE94" s="219">
        <f>AE96+AE97</f>
        <v>0</v>
      </c>
      <c r="AF94" s="70">
        <f>AE94-AD94</f>
        <v>-674.13</v>
      </c>
      <c r="AG94" s="220">
        <f>AE94/AD94*100-100</f>
        <v>-100</v>
      </c>
      <c r="AH94" s="242"/>
    </row>
    <row r="95" spans="1:35" hidden="1">
      <c r="A95" s="164"/>
      <c r="B95" s="171" t="s">
        <v>60</v>
      </c>
      <c r="C95" s="150"/>
      <c r="D95" s="145"/>
      <c r="E95" s="16"/>
      <c r="F95" s="34">
        <f t="shared" si="126"/>
        <v>0</v>
      </c>
      <c r="G95" s="59" t="e">
        <f t="shared" si="135"/>
        <v>#DIV/0!</v>
      </c>
      <c r="H95" s="47"/>
      <c r="I95" s="16"/>
      <c r="J95" s="34"/>
      <c r="K95" s="65"/>
      <c r="L95" s="117"/>
      <c r="M95" s="118"/>
      <c r="N95" s="119"/>
      <c r="O95" s="120"/>
      <c r="P95" s="117">
        <v>0</v>
      </c>
      <c r="Q95" s="118"/>
      <c r="R95" s="119"/>
      <c r="S95" s="120"/>
      <c r="T95" s="117">
        <v>0</v>
      </c>
      <c r="U95" s="118"/>
      <c r="V95" s="119"/>
      <c r="W95" s="120"/>
      <c r="X95" s="47"/>
      <c r="Y95" s="16"/>
      <c r="Z95" s="34">
        <f t="shared" si="136"/>
        <v>0</v>
      </c>
      <c r="AA95" s="34"/>
      <c r="AB95" s="47"/>
      <c r="AC95" s="16"/>
      <c r="AD95" s="221"/>
      <c r="AE95" s="222"/>
      <c r="AF95" s="223"/>
      <c r="AG95" s="224"/>
      <c r="AH95" s="242"/>
    </row>
    <row r="96" spans="1:35" hidden="1">
      <c r="A96" s="164" t="s">
        <v>110</v>
      </c>
      <c r="B96" s="171" t="s">
        <v>61</v>
      </c>
      <c r="C96" s="150" t="s">
        <v>159</v>
      </c>
      <c r="D96" s="146">
        <v>201.58</v>
      </c>
      <c r="E96" s="17"/>
      <c r="F96" s="35">
        <f t="shared" si="126"/>
        <v>-201.58</v>
      </c>
      <c r="G96" s="60">
        <f t="shared" si="135"/>
        <v>-100</v>
      </c>
      <c r="H96" s="48">
        <v>25</v>
      </c>
      <c r="I96" s="17"/>
      <c r="J96" s="35">
        <v>0</v>
      </c>
      <c r="K96" s="66">
        <v>0</v>
      </c>
      <c r="L96" s="121">
        <v>136.1</v>
      </c>
      <c r="M96" s="122"/>
      <c r="N96" s="123">
        <v>0</v>
      </c>
      <c r="O96" s="124">
        <v>0</v>
      </c>
      <c r="P96" s="121">
        <v>119.85</v>
      </c>
      <c r="Q96" s="122"/>
      <c r="R96" s="123">
        <v>0</v>
      </c>
      <c r="S96" s="124">
        <v>0</v>
      </c>
      <c r="T96" s="110">
        <v>139</v>
      </c>
      <c r="U96" s="122"/>
      <c r="V96" s="123">
        <f>U96-T96</f>
        <v>-139</v>
      </c>
      <c r="W96" s="124">
        <f>U96/T96*100-100</f>
        <v>-100</v>
      </c>
      <c r="X96" s="53">
        <f>D96+H96+L96+P96+T96</f>
        <v>621.53</v>
      </c>
      <c r="Y96" s="9">
        <f>E96+I96+M96+Q96+U96</f>
        <v>0</v>
      </c>
      <c r="Z96" s="21">
        <f t="shared" si="136"/>
        <v>-621.53</v>
      </c>
      <c r="AA96" s="21">
        <f>Y96/X96*100-100</f>
        <v>-100</v>
      </c>
      <c r="AB96" s="48"/>
      <c r="AC96" s="17"/>
      <c r="AD96" s="225">
        <f>X96+AB96</f>
        <v>621.53</v>
      </c>
      <c r="AE96" s="226">
        <f>Y96+AC96</f>
        <v>0</v>
      </c>
      <c r="AF96" s="227">
        <f>AE96-AD96</f>
        <v>-621.53</v>
      </c>
      <c r="AG96" s="228">
        <f>AE96/AD96*100-100</f>
        <v>-100</v>
      </c>
      <c r="AH96" s="242"/>
    </row>
    <row r="97" spans="1:34" hidden="1">
      <c r="A97" s="164" t="s">
        <v>111</v>
      </c>
      <c r="B97" s="171" t="s">
        <v>62</v>
      </c>
      <c r="C97" s="150" t="s">
        <v>159</v>
      </c>
      <c r="D97" s="146">
        <v>13.05</v>
      </c>
      <c r="E97" s="17"/>
      <c r="F97" s="35">
        <f t="shared" si="126"/>
        <v>-13.05</v>
      </c>
      <c r="G97" s="60">
        <f t="shared" si="135"/>
        <v>-100</v>
      </c>
      <c r="H97" s="48">
        <v>1</v>
      </c>
      <c r="I97" s="17"/>
      <c r="J97" s="35">
        <v>0</v>
      </c>
      <c r="K97" s="66">
        <v>0</v>
      </c>
      <c r="L97" s="121">
        <v>13.05</v>
      </c>
      <c r="M97" s="122"/>
      <c r="N97" s="123">
        <v>0</v>
      </c>
      <c r="O97" s="124">
        <v>0</v>
      </c>
      <c r="P97" s="121">
        <v>12.53</v>
      </c>
      <c r="Q97" s="122"/>
      <c r="R97" s="123">
        <v>0</v>
      </c>
      <c r="S97" s="124">
        <v>0</v>
      </c>
      <c r="T97" s="110">
        <v>12.97</v>
      </c>
      <c r="U97" s="122"/>
      <c r="V97" s="123">
        <f>U97-T97</f>
        <v>-12.97</v>
      </c>
      <c r="W97" s="124">
        <f>U97/T97*100-100</f>
        <v>-100</v>
      </c>
      <c r="X97" s="53">
        <f>D97+H97+L97+P97+T97</f>
        <v>52.6</v>
      </c>
      <c r="Y97" s="9">
        <f>E97+I97+M97+Q97+U97</f>
        <v>0</v>
      </c>
      <c r="Z97" s="21">
        <f t="shared" si="136"/>
        <v>-52.6</v>
      </c>
      <c r="AA97" s="21">
        <f>Y97/X97*100-100</f>
        <v>-100</v>
      </c>
      <c r="AB97" s="48"/>
      <c r="AC97" s="17"/>
      <c r="AD97" s="225">
        <f>X97+AB97</f>
        <v>52.6</v>
      </c>
      <c r="AE97" s="226">
        <f>Y97+AC97</f>
        <v>0</v>
      </c>
      <c r="AF97" s="227">
        <f>AE97-AD97</f>
        <v>-52.6</v>
      </c>
      <c r="AG97" s="228">
        <f>AE97/AD97*100-100</f>
        <v>-100</v>
      </c>
      <c r="AH97" s="242"/>
    </row>
    <row r="98" spans="1:34" ht="31.5" hidden="1">
      <c r="A98" s="157">
        <v>9</v>
      </c>
      <c r="B98" s="169" t="s">
        <v>160</v>
      </c>
      <c r="C98" s="149" t="s">
        <v>63</v>
      </c>
      <c r="D98" s="144">
        <v>144471.10194574849</v>
      </c>
      <c r="E98" s="15" t="e">
        <f>(E29+E49)/E94/12*1000</f>
        <v>#DIV/0!</v>
      </c>
      <c r="F98" s="70" t="e">
        <f t="shared" si="126"/>
        <v>#DIV/0!</v>
      </c>
      <c r="G98" s="73" t="e">
        <f t="shared" si="135"/>
        <v>#DIV/0!</v>
      </c>
      <c r="H98" s="46">
        <v>135530.76923076922</v>
      </c>
      <c r="I98" s="15" t="e">
        <f>(I28+I49)/I94/8*1000</f>
        <v>#DIV/0!</v>
      </c>
      <c r="J98" s="33" t="e">
        <f>I98-H98</f>
        <v>#DIV/0!</v>
      </c>
      <c r="K98" s="64" t="e">
        <f>I98/H98*100-100</f>
        <v>#DIV/0!</v>
      </c>
      <c r="L98" s="113">
        <v>170059.31498826685</v>
      </c>
      <c r="M98" s="114" t="e">
        <f>(M28+M49)/M94/12*1000</f>
        <v>#DIV/0!</v>
      </c>
      <c r="N98" s="115" t="e">
        <f>M98-L98</f>
        <v>#DIV/0!</v>
      </c>
      <c r="O98" s="116" t="e">
        <f>M98/L98*100-100</f>
        <v>#DIV/0!</v>
      </c>
      <c r="P98" s="113">
        <v>169997.63425614143</v>
      </c>
      <c r="Q98" s="114" t="e">
        <f>(Q28+Q49)/Q94/12*1000</f>
        <v>#DIV/0!</v>
      </c>
      <c r="R98" s="115" t="e">
        <f>Q98-P98</f>
        <v>#DIV/0!</v>
      </c>
      <c r="S98" s="116" t="e">
        <f>Q98/P98*100-100</f>
        <v>#DIV/0!</v>
      </c>
      <c r="T98" s="113">
        <v>75807.727518364598</v>
      </c>
      <c r="U98" s="114" t="e">
        <f>(U28+U49)/U94/12*1000</f>
        <v>#DIV/0!</v>
      </c>
      <c r="V98" s="115" t="e">
        <f>U98-T98</f>
        <v>#DIV/0!</v>
      </c>
      <c r="W98" s="116" t="e">
        <f>U98/T98*100-100</f>
        <v>#DIV/0!</v>
      </c>
      <c r="X98" s="46">
        <f>(X28+X49)/X94/12*1000</f>
        <v>109143.83662399439</v>
      </c>
      <c r="Y98" s="15" t="e">
        <f>(Y28+Y49)/Y94/12*1000</f>
        <v>#DIV/0!</v>
      </c>
      <c r="Z98" s="33" t="e">
        <f t="shared" si="136"/>
        <v>#DIV/0!</v>
      </c>
      <c r="AA98" s="33" t="e">
        <f>Y98/X98*100-100</f>
        <v>#DIV/0!</v>
      </c>
      <c r="AB98" s="46"/>
      <c r="AC98" s="15"/>
      <c r="AD98" s="218">
        <f>(AD28+AD49)/AD94/12*1000</f>
        <v>109143.83662399439</v>
      </c>
      <c r="AE98" s="219" t="e">
        <f>(AE28+AE49)/AE94/12*1000</f>
        <v>#DIV/0!</v>
      </c>
      <c r="AF98" s="70" t="e">
        <f>AE98-AD98</f>
        <v>#DIV/0!</v>
      </c>
      <c r="AG98" s="220" t="e">
        <f>AE98/AD98*100-100</f>
        <v>#DIV/0!</v>
      </c>
      <c r="AH98" s="242"/>
    </row>
    <row r="99" spans="1:34" hidden="1">
      <c r="A99" s="164" t="s">
        <v>112</v>
      </c>
      <c r="B99" s="171" t="s">
        <v>161</v>
      </c>
      <c r="C99" s="150" t="s">
        <v>159</v>
      </c>
      <c r="D99" s="146">
        <f>D28/12/D96*1000</f>
        <v>131246.71553064126</v>
      </c>
      <c r="E99" s="17" t="e">
        <f>E29/12/E96*1000</f>
        <v>#DIV/0!</v>
      </c>
      <c r="F99" s="35" t="e">
        <f t="shared" si="126"/>
        <v>#DIV/0!</v>
      </c>
      <c r="G99" s="74" t="e">
        <f t="shared" si="135"/>
        <v>#DIV/0!</v>
      </c>
      <c r="H99" s="146">
        <f>H28/12/H96*1000</f>
        <v>141120</v>
      </c>
      <c r="I99" s="17" t="e">
        <f>I28/12/I96*1000</f>
        <v>#DIV/0!</v>
      </c>
      <c r="J99" s="35" t="e">
        <f>I99-H99</f>
        <v>#DIV/0!</v>
      </c>
      <c r="K99" s="66" t="e">
        <f>I99/H99*100-100</f>
        <v>#DIV/0!</v>
      </c>
      <c r="L99" s="146">
        <f>L28/12/L96*1000</f>
        <v>105914.9706098457</v>
      </c>
      <c r="M99" s="122" t="e">
        <f>M28/12/M96*1000</f>
        <v>#DIV/0!</v>
      </c>
      <c r="N99" s="123" t="e">
        <f>M99-L99</f>
        <v>#DIV/0!</v>
      </c>
      <c r="O99" s="124" t="e">
        <f>M99/L99*100-100</f>
        <v>#DIV/0!</v>
      </c>
      <c r="P99" s="146">
        <f>P28/12/P96*1000</f>
        <v>109988.25615352525</v>
      </c>
      <c r="Q99" s="122" t="e">
        <f>Q28/12/Q96*1000</f>
        <v>#DIV/0!</v>
      </c>
      <c r="R99" s="123" t="e">
        <f>Q99-P99</f>
        <v>#DIV/0!</v>
      </c>
      <c r="S99" s="124" t="e">
        <f>Q99/P99*100-100</f>
        <v>#DIV/0!</v>
      </c>
      <c r="T99" s="121">
        <v>70299.80468320768</v>
      </c>
      <c r="U99" s="122" t="e">
        <f>U28/12/U96*1000</f>
        <v>#DIV/0!</v>
      </c>
      <c r="V99" s="123" t="e">
        <f>U99-T99</f>
        <v>#DIV/0!</v>
      </c>
      <c r="W99" s="124" t="e">
        <f>U99/T99*100-100</f>
        <v>#DIV/0!</v>
      </c>
      <c r="X99" s="48">
        <f>X28/12/X96*1000</f>
        <v>106596.17060587046</v>
      </c>
      <c r="Y99" s="17" t="e">
        <f>Y28/12/Y96*1000</f>
        <v>#DIV/0!</v>
      </c>
      <c r="Z99" s="35" t="e">
        <f t="shared" si="136"/>
        <v>#DIV/0!</v>
      </c>
      <c r="AA99" s="35" t="e">
        <f>Y99/X99*100-100</f>
        <v>#DIV/0!</v>
      </c>
      <c r="AB99" s="48"/>
      <c r="AC99" s="17"/>
      <c r="AD99" s="229">
        <f>AD28/12/AD96*1000</f>
        <v>106596.17060587046</v>
      </c>
      <c r="AE99" s="230" t="e">
        <f>AE28/12/AE96*1000</f>
        <v>#DIV/0!</v>
      </c>
      <c r="AF99" s="227" t="e">
        <f>AE99-AD99</f>
        <v>#DIV/0!</v>
      </c>
      <c r="AG99" s="228" t="e">
        <f>AE99/AD99*100-100</f>
        <v>#DIV/0!</v>
      </c>
      <c r="AH99" s="242"/>
    </row>
    <row r="100" spans="1:34" ht="16.5" hidden="1" thickBot="1">
      <c r="A100" s="165" t="s">
        <v>113</v>
      </c>
      <c r="B100" s="177" t="s">
        <v>162</v>
      </c>
      <c r="C100" s="153" t="s">
        <v>159</v>
      </c>
      <c r="D100" s="146">
        <f>D49/12/D97*1000</f>
        <v>170620.94508301406</v>
      </c>
      <c r="E100" s="50" t="e">
        <f>E49/12/E97*1000</f>
        <v>#DIV/0!</v>
      </c>
      <c r="F100" s="51" t="e">
        <f t="shared" si="126"/>
        <v>#DIV/0!</v>
      </c>
      <c r="G100" s="75" t="e">
        <f t="shared" si="135"/>
        <v>#DIV/0!</v>
      </c>
      <c r="H100" s="146">
        <f>H49/12/H97*1000</f>
        <v>171990</v>
      </c>
      <c r="I100" s="50" t="e">
        <f>I49/12/I97*1000</f>
        <v>#DIV/0!</v>
      </c>
      <c r="J100" s="51" t="e">
        <f>I100-H100</f>
        <v>#DIV/0!</v>
      </c>
      <c r="K100" s="99" t="e">
        <f>I100/H100*100-100</f>
        <v>#DIV/0!</v>
      </c>
      <c r="L100" s="146">
        <v>115268.01</v>
      </c>
      <c r="M100" s="104" t="e">
        <f>M49/12/M97*1000</f>
        <v>#DIV/0!</v>
      </c>
      <c r="N100" s="105" t="e">
        <f>M100-L100</f>
        <v>#DIV/0!</v>
      </c>
      <c r="O100" s="106" t="e">
        <f>M100/L100*100-100</f>
        <v>#DIV/0!</v>
      </c>
      <c r="P100" s="146">
        <f>P49/12/P97*1000</f>
        <v>127496.87416866189</v>
      </c>
      <c r="Q100" s="126" t="e">
        <f>Q49/12/Q97*1000</f>
        <v>#DIV/0!</v>
      </c>
      <c r="R100" s="127" t="e">
        <f>Q100-P100</f>
        <v>#DIV/0!</v>
      </c>
      <c r="S100" s="128" t="e">
        <f>Q100/P100*100-100</f>
        <v>#DIV/0!</v>
      </c>
      <c r="T100" s="125">
        <v>134836.3531225906</v>
      </c>
      <c r="U100" s="126" t="e">
        <f>U49/12/U97*1000</f>
        <v>#DIV/0!</v>
      </c>
      <c r="V100" s="127" t="e">
        <f>U100-T100</f>
        <v>#DIV/0!</v>
      </c>
      <c r="W100" s="128" t="e">
        <f>U100/T100*100-100</f>
        <v>#DIV/0!</v>
      </c>
      <c r="X100" s="49">
        <f>X49/12/X97*1000</f>
        <v>139247.46514575413</v>
      </c>
      <c r="Y100" s="50" t="e">
        <f>Y49/12/Y97*1000</f>
        <v>#DIV/0!</v>
      </c>
      <c r="Z100" s="51" t="e">
        <f t="shared" si="136"/>
        <v>#DIV/0!</v>
      </c>
      <c r="AA100" s="51" t="e">
        <f>Y100/X100*100-100</f>
        <v>#DIV/0!</v>
      </c>
      <c r="AB100" s="49"/>
      <c r="AC100" s="50"/>
      <c r="AD100" s="231">
        <f>AD29/12/AD97*1000</f>
        <v>107692.16571609632</v>
      </c>
      <c r="AE100" s="232" t="e">
        <f>AE29/12/AE97*1000</f>
        <v>#DIV/0!</v>
      </c>
      <c r="AF100" s="233" t="e">
        <f>AE100-AD100</f>
        <v>#DIV/0!</v>
      </c>
      <c r="AG100" s="234" t="e">
        <f>AE100/AD100*100-100</f>
        <v>#DIV/0!</v>
      </c>
      <c r="AH100" s="242"/>
    </row>
    <row r="101" spans="1:34">
      <c r="H101" s="20"/>
    </row>
    <row r="102" spans="1:34" ht="18.75" hidden="1">
      <c r="B102" s="1" t="s">
        <v>184</v>
      </c>
      <c r="H102" s="20"/>
    </row>
    <row r="103" spans="1:34" ht="18.75" hidden="1">
      <c r="B103" s="1" t="s">
        <v>185</v>
      </c>
      <c r="H103" s="20"/>
    </row>
    <row r="104" spans="1:34" ht="18.75" hidden="1">
      <c r="B104" s="1" t="s">
        <v>186</v>
      </c>
      <c r="H104" s="20"/>
    </row>
    <row r="105" spans="1:34" ht="18.75" hidden="1">
      <c r="B105" s="1" t="s">
        <v>187</v>
      </c>
      <c r="H105" s="20"/>
    </row>
    <row r="106" spans="1:34" ht="18.75" hidden="1">
      <c r="B106" s="1" t="s">
        <v>191</v>
      </c>
      <c r="H106" s="20"/>
    </row>
    <row r="107" spans="1:34" ht="18.75" hidden="1">
      <c r="B107" s="300"/>
      <c r="H107" s="20"/>
    </row>
    <row r="108" spans="1:34" ht="18.75" hidden="1">
      <c r="B108" s="300" t="s">
        <v>188</v>
      </c>
      <c r="H108" s="20"/>
    </row>
    <row r="109" spans="1:34" ht="18.75" hidden="1">
      <c r="B109" s="300" t="s">
        <v>189</v>
      </c>
      <c r="H109" s="20"/>
    </row>
    <row r="110" spans="1:34" ht="18.75" hidden="1">
      <c r="B110" s="300"/>
      <c r="H110" s="20"/>
    </row>
    <row r="111" spans="1:34" ht="18.75" hidden="1">
      <c r="B111" s="1" t="s">
        <v>190</v>
      </c>
      <c r="H111" s="20"/>
    </row>
    <row r="112" spans="1:34" hidden="1">
      <c r="H112" s="20"/>
    </row>
    <row r="113" spans="2:31" hidden="1">
      <c r="H113" s="20"/>
    </row>
    <row r="114" spans="2:31" hidden="1">
      <c r="H114" s="20"/>
    </row>
    <row r="115" spans="2:31" hidden="1">
      <c r="H115" s="20"/>
    </row>
    <row r="116" spans="2:31" hidden="1">
      <c r="D116" s="299"/>
    </row>
    <row r="117" spans="2:31" ht="18.75" hidden="1">
      <c r="B117" s="240" t="s">
        <v>176</v>
      </c>
      <c r="D117" s="94"/>
      <c r="E117" s="20">
        <f>7619212/1000+71467/1000+137958/1000+637268371.61/1000+3332013/1000+141510.95/1000-3838.75/1000-4288.2/1000+1408965.27/1000+14698426/1000+24479967/1000+4836422.43/1000</f>
        <v>693986.18631000014</v>
      </c>
      <c r="Z117" s="90"/>
    </row>
    <row r="118" spans="2:31" hidden="1">
      <c r="B118" s="2" t="s">
        <v>178</v>
      </c>
      <c r="E118" s="95">
        <f>383458528.59/1000</f>
        <v>383458.52859</v>
      </c>
    </row>
    <row r="119" spans="2:31" hidden="1">
      <c r="E119" s="20">
        <f>E117+Y87+E118</f>
        <v>3571227.2178300004</v>
      </c>
    </row>
    <row r="120" spans="2:31" hidden="1">
      <c r="U120" s="37"/>
      <c r="AE120" s="83"/>
    </row>
    <row r="121" spans="2:31">
      <c r="E121" s="20">
        <f>805123583.72/1000+11125692.11/1000+12100447.7/1000+206086792.78/1000+281994855.47/1000+547922871.63/1000+177009.86/1000+18368970.75/1000+1688327003.91/1000</f>
        <v>3571227.2279300001</v>
      </c>
      <c r="Q121" s="37"/>
      <c r="U121" s="37"/>
    </row>
    <row r="122" spans="2:31">
      <c r="E122" s="20">
        <f>E121-E119</f>
        <v>1.0099999606609344E-2</v>
      </c>
      <c r="Q122" s="37"/>
      <c r="U122" s="37"/>
    </row>
  </sheetData>
  <mergeCells count="22">
    <mergeCell ref="Z12:AA12"/>
    <mergeCell ref="AB12:AC12"/>
    <mergeCell ref="AD12:AE12"/>
    <mergeCell ref="AF12:AG12"/>
    <mergeCell ref="A89:A90"/>
    <mergeCell ref="B89:B90"/>
    <mergeCell ref="N12:O12"/>
    <mergeCell ref="P12:Q12"/>
    <mergeCell ref="R12:S12"/>
    <mergeCell ref="T12:U12"/>
    <mergeCell ref="V12:W12"/>
    <mergeCell ref="X12:Y12"/>
    <mergeCell ref="B1:V1"/>
    <mergeCell ref="A12:A13"/>
    <mergeCell ref="B12:B13"/>
    <mergeCell ref="C12:C13"/>
    <mergeCell ref="D12:E12"/>
    <mergeCell ref="F12:G12"/>
    <mergeCell ref="H12:I12"/>
    <mergeCell ref="J12:K12"/>
    <mergeCell ref="L12:M12"/>
    <mergeCell ref="A8:S8"/>
  </mergeCells>
  <pageMargins left="0.31496062992125984" right="0.31496062992125984" top="0.35433070866141736" bottom="0.74803149606299213" header="0.31496062992125984" footer="0.31496062992125984"/>
  <pageSetup paperSize="9" scale="65" fitToWidth="5" fitToHeight="2" orientation="portrait" r:id="rId1"/>
  <rowBreaks count="1" manualBreakCount="1">
    <brk id="61" max="2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6"/>
  <sheetViews>
    <sheetView view="pageBreakPreview" zoomScale="80" zoomScaleNormal="55" zoomScaleSheetLayoutView="80" workbookViewId="0">
      <pane xSplit="2" ySplit="18" topLeftCell="C74" activePane="bottomRight" state="frozen"/>
      <selection activeCell="C49" sqref="C49"/>
      <selection pane="topRight" activeCell="C49" sqref="C49"/>
      <selection pane="bottomLeft" activeCell="C49" sqref="C49"/>
      <selection pane="bottomRight" activeCell="B11" sqref="B11"/>
    </sheetView>
  </sheetViews>
  <sheetFormatPr defaultRowHeight="15.75"/>
  <cols>
    <col min="1" max="1" width="7.42578125" style="18" customWidth="1"/>
    <col min="2" max="2" width="43.28515625" style="2" customWidth="1"/>
    <col min="3" max="3" width="14.7109375" style="19" customWidth="1"/>
    <col min="4" max="4" width="18.42578125" customWidth="1"/>
    <col min="5" max="5" width="23" style="36" customWidth="1"/>
    <col min="6" max="6" width="16.7109375" style="24" customWidth="1"/>
    <col min="7" max="7" width="15.42578125" style="24" customWidth="1"/>
    <col min="8" max="8" width="9.140625" customWidth="1"/>
    <col min="9" max="9" width="12.140625" bestFit="1" customWidth="1"/>
  </cols>
  <sheetData>
    <row r="1" spans="1:7" ht="62.25" customHeight="1">
      <c r="B1" s="382" t="s">
        <v>192</v>
      </c>
      <c r="C1" s="382"/>
      <c r="D1" s="382"/>
      <c r="E1" s="382"/>
      <c r="F1" s="382"/>
    </row>
    <row r="2" spans="1:7" ht="14.25" customHeight="1"/>
    <row r="3" spans="1:7" s="71" customFormat="1" ht="20.25" customHeight="1">
      <c r="A3" s="100"/>
      <c r="B3" s="100"/>
      <c r="C3" s="100"/>
      <c r="D3" s="100"/>
      <c r="E3" s="130"/>
      <c r="F3" s="130"/>
      <c r="G3" s="130"/>
    </row>
    <row r="4" spans="1:7" s="71" customFormat="1" ht="18.75">
      <c r="A4" s="81" t="s">
        <v>181</v>
      </c>
      <c r="B4" s="1"/>
      <c r="C4" s="72"/>
      <c r="E4" s="78"/>
      <c r="F4" s="78"/>
      <c r="G4" s="78"/>
    </row>
    <row r="5" spans="1:7" s="71" customFormat="1" ht="18.75">
      <c r="A5" s="81" t="s">
        <v>164</v>
      </c>
      <c r="B5" s="1"/>
      <c r="C5" s="72"/>
      <c r="E5" s="78"/>
      <c r="F5" s="78"/>
      <c r="G5" s="78"/>
    </row>
    <row r="6" spans="1:7" s="71" customFormat="1" ht="18.75">
      <c r="A6" s="81" t="s">
        <v>182</v>
      </c>
      <c r="B6" s="1"/>
      <c r="C6" s="72"/>
      <c r="E6" s="78"/>
      <c r="F6" s="78"/>
      <c r="G6" s="78"/>
    </row>
    <row r="7" spans="1:7" s="71" customFormat="1" ht="18.75">
      <c r="A7" s="81" t="s">
        <v>165</v>
      </c>
      <c r="B7" s="1"/>
      <c r="C7" s="72"/>
      <c r="E7" s="78"/>
      <c r="F7" s="78"/>
      <c r="G7" s="78"/>
    </row>
    <row r="8" spans="1:7" s="71" customFormat="1" ht="39.75" customHeight="1">
      <c r="A8" s="373" t="s">
        <v>166</v>
      </c>
      <c r="B8" s="373"/>
      <c r="C8" s="373"/>
      <c r="D8" s="373"/>
      <c r="E8" s="373"/>
      <c r="F8" s="373"/>
      <c r="G8" s="373"/>
    </row>
    <row r="9" spans="1:7" s="71" customFormat="1" ht="18.75">
      <c r="A9" s="81" t="s">
        <v>183</v>
      </c>
      <c r="B9" s="1"/>
      <c r="C9" s="1"/>
      <c r="E9" s="78"/>
      <c r="F9" s="78"/>
      <c r="G9" s="78"/>
    </row>
    <row r="10" spans="1:7" ht="23.25">
      <c r="A10" s="7"/>
      <c r="B10" s="6"/>
      <c r="C10" s="8"/>
      <c r="E10" s="25"/>
      <c r="F10" s="25"/>
      <c r="G10" s="25"/>
    </row>
    <row r="11" spans="1:7" ht="16.5" thickBot="1">
      <c r="E11" s="24"/>
    </row>
    <row r="12" spans="1:7" s="4" customFormat="1" ht="46.5" customHeight="1">
      <c r="A12" s="374" t="s">
        <v>1</v>
      </c>
      <c r="B12" s="383" t="s">
        <v>2</v>
      </c>
      <c r="C12" s="383" t="s">
        <v>131</v>
      </c>
      <c r="D12" s="389" t="s">
        <v>127</v>
      </c>
      <c r="E12" s="390"/>
      <c r="F12" s="378" t="s">
        <v>124</v>
      </c>
      <c r="G12" s="379"/>
    </row>
    <row r="13" spans="1:7" s="79" customFormat="1" ht="73.5" customHeight="1" thickBot="1">
      <c r="A13" s="375"/>
      <c r="B13" s="384"/>
      <c r="C13" s="384"/>
      <c r="D13" s="184" t="s">
        <v>167</v>
      </c>
      <c r="E13" s="181" t="s">
        <v>168</v>
      </c>
      <c r="F13" s="182" t="s">
        <v>4</v>
      </c>
      <c r="G13" s="185" t="s">
        <v>109</v>
      </c>
    </row>
    <row r="14" spans="1:7" s="4" customFormat="1" hidden="1">
      <c r="A14" s="154"/>
      <c r="B14" s="166" t="s">
        <v>129</v>
      </c>
      <c r="C14" s="147"/>
      <c r="D14" s="42">
        <f>D84*D88</f>
        <v>580933.70000000007</v>
      </c>
      <c r="E14" s="178" t="e">
        <f>#REF!</f>
        <v>#REF!</v>
      </c>
      <c r="F14" s="179" t="e">
        <f>E14-D14</f>
        <v>#REF!</v>
      </c>
      <c r="G14" s="52" t="e">
        <f>E14/D14*100-100</f>
        <v>#REF!</v>
      </c>
    </row>
    <row r="15" spans="1:7" s="4" customFormat="1" hidden="1">
      <c r="A15" s="154"/>
      <c r="B15" s="166" t="s">
        <v>135</v>
      </c>
      <c r="C15" s="147"/>
      <c r="D15" s="195"/>
      <c r="E15" s="192" t="e">
        <f>#REF!*0.1772</f>
        <v>#REF!</v>
      </c>
      <c r="F15" s="193"/>
      <c r="G15" s="194"/>
    </row>
    <row r="16" spans="1:7" s="4" customFormat="1" hidden="1">
      <c r="A16" s="155"/>
      <c r="B16" s="167" t="s">
        <v>136</v>
      </c>
      <c r="C16" s="148"/>
      <c r="D16" s="200">
        <f>D14</f>
        <v>580933.70000000007</v>
      </c>
      <c r="E16" s="197" t="e">
        <f>E14+E15</f>
        <v>#REF!</v>
      </c>
      <c r="F16" s="198" t="e">
        <f>E16-D16</f>
        <v>#REF!</v>
      </c>
      <c r="G16" s="201" t="e">
        <f>E16/D16*100-100</f>
        <v>#REF!</v>
      </c>
    </row>
    <row r="17" spans="1:9" s="4" customFormat="1" hidden="1">
      <c r="A17" s="154"/>
      <c r="B17" s="147"/>
      <c r="C17" s="147"/>
      <c r="D17" s="205"/>
      <c r="E17" s="202"/>
      <c r="F17" s="203"/>
      <c r="G17" s="206"/>
    </row>
    <row r="18" spans="1:9" s="4" customFormat="1" hidden="1">
      <c r="A18" s="154"/>
      <c r="B18" s="147"/>
      <c r="C18" s="147"/>
      <c r="D18" s="205"/>
      <c r="E18" s="202"/>
      <c r="F18" s="203"/>
      <c r="G18" s="206"/>
    </row>
    <row r="19" spans="1:9" s="4" customFormat="1" ht="16.5" thickBot="1">
      <c r="A19" s="216"/>
      <c r="B19" s="217"/>
      <c r="C19" s="217"/>
      <c r="D19" s="271"/>
      <c r="E19" s="266"/>
      <c r="F19" s="267"/>
      <c r="G19" s="270"/>
    </row>
    <row r="20" spans="1:9" ht="47.25">
      <c r="A20" s="156" t="s">
        <v>3</v>
      </c>
      <c r="B20" s="168" t="s">
        <v>137</v>
      </c>
      <c r="C20" s="253" t="s">
        <v>138</v>
      </c>
      <c r="D20" s="277">
        <f t="shared" ref="D20:F20" si="0">D21+D27+D32+D36+D33</f>
        <v>550794.66</v>
      </c>
      <c r="E20" s="277">
        <f t="shared" si="0"/>
        <v>283885.32011780003</v>
      </c>
      <c r="F20" s="277">
        <f t="shared" si="0"/>
        <v>-266909.3398822</v>
      </c>
      <c r="G20" s="277">
        <f t="shared" ref="G20:G21" si="1">E20/D20*100-100</f>
        <v>-48.458955626439803</v>
      </c>
    </row>
    <row r="21" spans="1:9" ht="31.5">
      <c r="A21" s="157">
        <v>1</v>
      </c>
      <c r="B21" s="169" t="s">
        <v>139</v>
      </c>
      <c r="C21" s="254" t="s">
        <v>140</v>
      </c>
      <c r="D21" s="280">
        <f t="shared" ref="D21:F21" si="2">SUM(D22:D26)</f>
        <v>18392.620000000003</v>
      </c>
      <c r="E21" s="280">
        <f t="shared" si="2"/>
        <v>6351.3997039959995</v>
      </c>
      <c r="F21" s="280">
        <f t="shared" si="2"/>
        <v>-12041.220296003999</v>
      </c>
      <c r="G21" s="280">
        <f t="shared" si="1"/>
        <v>-65.467672881862399</v>
      </c>
    </row>
    <row r="22" spans="1:9" s="3" customFormat="1">
      <c r="A22" s="158" t="s">
        <v>64</v>
      </c>
      <c r="B22" s="170" t="s">
        <v>5</v>
      </c>
      <c r="C22" s="255" t="s">
        <v>140</v>
      </c>
      <c r="D22" s="283">
        <v>3228.98</v>
      </c>
      <c r="E22" s="283">
        <f>4388314.47/1000</f>
        <v>4388.3144699999993</v>
      </c>
      <c r="F22" s="252">
        <f t="shared" ref="F22" si="3">E22-D22</f>
        <v>1159.3344699999993</v>
      </c>
      <c r="G22" s="252">
        <f>E22/D22*100-100</f>
        <v>35.904046169378546</v>
      </c>
    </row>
    <row r="23" spans="1:9" s="3" customFormat="1" hidden="1">
      <c r="A23" s="158" t="s">
        <v>65</v>
      </c>
      <c r="B23" s="170" t="s">
        <v>141</v>
      </c>
      <c r="C23" s="255" t="s">
        <v>140</v>
      </c>
      <c r="D23" s="283"/>
      <c r="E23" s="283"/>
      <c r="F23" s="252"/>
      <c r="G23" s="252"/>
    </row>
    <row r="24" spans="1:9" s="3" customFormat="1">
      <c r="A24" s="158" t="s">
        <v>65</v>
      </c>
      <c r="B24" s="170" t="s">
        <v>142</v>
      </c>
      <c r="C24" s="255" t="s">
        <v>140</v>
      </c>
      <c r="D24" s="283">
        <v>14726.31</v>
      </c>
      <c r="E24" s="283">
        <f>(2004070.13/1000+12716.8/1000)*E77+1605710.59/1000</f>
        <v>1963.0852339960002</v>
      </c>
      <c r="F24" s="252">
        <f t="shared" ref="F24" si="4">E24-D24</f>
        <v>-12763.224766003999</v>
      </c>
      <c r="G24" s="252">
        <f t="shared" ref="G24" si="5">E24/D24*100-100</f>
        <v>-86.669537487693788</v>
      </c>
    </row>
    <row r="25" spans="1:9" s="3" customFormat="1" hidden="1">
      <c r="A25" s="158" t="s">
        <v>67</v>
      </c>
      <c r="B25" s="170" t="s">
        <v>143</v>
      </c>
      <c r="C25" s="255" t="s">
        <v>140</v>
      </c>
      <c r="D25" s="283"/>
      <c r="E25" s="283"/>
      <c r="F25" s="252"/>
      <c r="G25" s="252"/>
    </row>
    <row r="26" spans="1:9" s="3" customFormat="1" ht="18.75">
      <c r="A26" s="158" t="s">
        <v>66</v>
      </c>
      <c r="B26" s="170" t="s">
        <v>6</v>
      </c>
      <c r="C26" s="255" t="s">
        <v>140</v>
      </c>
      <c r="D26" s="283">
        <v>437.33</v>
      </c>
      <c r="E26" s="285"/>
      <c r="F26" s="252">
        <f t="shared" ref="F26" si="6">E26-D26</f>
        <v>-437.33</v>
      </c>
      <c r="G26" s="252">
        <f t="shared" ref="G26" si="7">E26/D26*100-100</f>
        <v>-100</v>
      </c>
      <c r="I26" s="96"/>
    </row>
    <row r="27" spans="1:9" ht="31.5">
      <c r="A27" s="157">
        <v>2</v>
      </c>
      <c r="B27" s="169" t="s">
        <v>144</v>
      </c>
      <c r="C27" s="254" t="s">
        <v>140</v>
      </c>
      <c r="D27" s="280">
        <f t="shared" ref="D27:F27" si="8">D28+D29+D30+D31</f>
        <v>112946.95</v>
      </c>
      <c r="E27" s="280">
        <f t="shared" si="8"/>
        <v>135535.58356</v>
      </c>
      <c r="F27" s="280">
        <f t="shared" si="8"/>
        <v>22588.633560000006</v>
      </c>
      <c r="G27" s="280">
        <f>E27/D27*100-100</f>
        <v>19.999330269653143</v>
      </c>
    </row>
    <row r="28" spans="1:9" ht="31.5">
      <c r="A28" s="302" t="s">
        <v>69</v>
      </c>
      <c r="B28" s="171" t="s">
        <v>7</v>
      </c>
      <c r="C28" s="256" t="s">
        <v>140</v>
      </c>
      <c r="D28" s="283">
        <v>104050.62</v>
      </c>
      <c r="E28" s="283">
        <f>121480392.5/1000</f>
        <v>121480.3925</v>
      </c>
      <c r="F28" s="252">
        <f t="shared" ref="F28:F32" si="9">E28-D28</f>
        <v>17429.772500000006</v>
      </c>
      <c r="G28" s="252">
        <f t="shared" ref="G28:G29" si="10">E28/D28*100-100</f>
        <v>16.751243289083732</v>
      </c>
    </row>
    <row r="29" spans="1:9">
      <c r="A29" s="302" t="s">
        <v>70</v>
      </c>
      <c r="B29" s="171" t="s">
        <v>170</v>
      </c>
      <c r="C29" s="256" t="s">
        <v>140</v>
      </c>
      <c r="D29" s="283">
        <v>8896.33</v>
      </c>
      <c r="E29" s="283">
        <f>3794288.05/1000+6430419.54/1000</f>
        <v>10224.70759</v>
      </c>
      <c r="F29" s="252">
        <f t="shared" si="9"/>
        <v>1328.3775900000001</v>
      </c>
      <c r="G29" s="252">
        <f t="shared" si="10"/>
        <v>14.931748147831755</v>
      </c>
    </row>
    <row r="30" spans="1:9">
      <c r="A30" s="302" t="s">
        <v>179</v>
      </c>
      <c r="B30" s="251" t="s">
        <v>177</v>
      </c>
      <c r="C30" s="256"/>
      <c r="D30" s="283"/>
      <c r="E30" s="283">
        <f>389643/1000</f>
        <v>389.64299999999997</v>
      </c>
      <c r="F30" s="252">
        <f t="shared" si="9"/>
        <v>389.64299999999997</v>
      </c>
      <c r="G30" s="252"/>
    </row>
    <row r="31" spans="1:9">
      <c r="A31" s="302" t="s">
        <v>180</v>
      </c>
      <c r="B31" s="171" t="s">
        <v>169</v>
      </c>
      <c r="C31" s="256"/>
      <c r="D31" s="283"/>
      <c r="E31" s="283">
        <f>3440840.47/1000</f>
        <v>3440.8404700000001</v>
      </c>
      <c r="F31" s="252">
        <f t="shared" si="9"/>
        <v>3440.8404700000001</v>
      </c>
      <c r="G31" s="252"/>
    </row>
    <row r="32" spans="1:9">
      <c r="A32" s="157">
        <v>3</v>
      </c>
      <c r="B32" s="169" t="s">
        <v>8</v>
      </c>
      <c r="C32" s="257" t="s">
        <v>140</v>
      </c>
      <c r="D32" s="280">
        <v>0</v>
      </c>
      <c r="E32" s="280">
        <f>3315654/1000*E77+23946134.3/1000</f>
        <v>24533.668188800002</v>
      </c>
      <c r="F32" s="280">
        <f t="shared" si="9"/>
        <v>24533.668188800002</v>
      </c>
      <c r="G32" s="280" t="e">
        <f t="shared" ref="G32:G34" si="11">E32/D32*100-100</f>
        <v>#DIV/0!</v>
      </c>
    </row>
    <row r="33" spans="1:7">
      <c r="A33" s="157">
        <v>4</v>
      </c>
      <c r="B33" s="169" t="s">
        <v>145</v>
      </c>
      <c r="C33" s="257"/>
      <c r="D33" s="280">
        <f t="shared" ref="D33:F33" si="12">D34</f>
        <v>91169.44</v>
      </c>
      <c r="E33" s="280">
        <f t="shared" si="12"/>
        <v>4123.6717600000002</v>
      </c>
      <c r="F33" s="280">
        <f t="shared" si="12"/>
        <v>-87045.768240000005</v>
      </c>
      <c r="G33" s="280">
        <f t="shared" si="11"/>
        <v>-95.476914457300609</v>
      </c>
    </row>
    <row r="34" spans="1:7" s="3" customFormat="1" ht="31.5" customHeight="1">
      <c r="A34" s="158" t="s">
        <v>71</v>
      </c>
      <c r="B34" s="170" t="s">
        <v>146</v>
      </c>
      <c r="C34" s="258" t="s">
        <v>140</v>
      </c>
      <c r="D34" s="283">
        <v>91169.44</v>
      </c>
      <c r="E34" s="283">
        <f>422800/1000+480877.76/1000+3219994/1000</f>
        <v>4123.6717600000002</v>
      </c>
      <c r="F34" s="252">
        <f t="shared" ref="F34" si="13">E34-D34</f>
        <v>-87045.768240000005</v>
      </c>
      <c r="G34" s="252">
        <f t="shared" si="11"/>
        <v>-95.476914457300609</v>
      </c>
    </row>
    <row r="35" spans="1:7" hidden="1">
      <c r="A35" s="302"/>
      <c r="B35" s="171"/>
      <c r="C35" s="259"/>
      <c r="D35" s="283"/>
      <c r="E35" s="283"/>
      <c r="F35" s="252"/>
      <c r="G35" s="252"/>
    </row>
    <row r="36" spans="1:7">
      <c r="A36" s="157" t="s">
        <v>147</v>
      </c>
      <c r="B36" s="169" t="s">
        <v>9</v>
      </c>
      <c r="C36" s="257" t="s">
        <v>140</v>
      </c>
      <c r="D36" s="280">
        <f>SUM(D37:D42)</f>
        <v>328285.65000000002</v>
      </c>
      <c r="E36" s="280">
        <f>SUM(E37:E42)</f>
        <v>113340.99690500401</v>
      </c>
      <c r="F36" s="280">
        <f>SUM(F37:F42)</f>
        <v>-214944.65309499597</v>
      </c>
      <c r="G36" s="280">
        <f>E36/D36*100-100</f>
        <v>-65.474885391730027</v>
      </c>
    </row>
    <row r="37" spans="1:7" s="3" customFormat="1">
      <c r="A37" s="158" t="s">
        <v>115</v>
      </c>
      <c r="B37" s="172" t="s">
        <v>11</v>
      </c>
      <c r="C37" s="258" t="s">
        <v>140</v>
      </c>
      <c r="D37" s="283">
        <v>17021.87</v>
      </c>
      <c r="E37" s="283"/>
      <c r="F37" s="252">
        <f t="shared" ref="F37:F42" si="14">E37-D37</f>
        <v>-17021.87</v>
      </c>
      <c r="G37" s="252">
        <f t="shared" ref="G37:G46" si="15">E37/D37*100-100</f>
        <v>-100</v>
      </c>
    </row>
    <row r="38" spans="1:7" s="3" customFormat="1">
      <c r="A38" s="158" t="s">
        <v>116</v>
      </c>
      <c r="B38" s="172" t="s">
        <v>12</v>
      </c>
      <c r="C38" s="258" t="s">
        <v>140</v>
      </c>
      <c r="D38" s="283">
        <v>163.91</v>
      </c>
      <c r="E38" s="283">
        <f>2370000/1000*E77</f>
        <v>419.964</v>
      </c>
      <c r="F38" s="252">
        <f t="shared" si="14"/>
        <v>256.05399999999997</v>
      </c>
      <c r="G38" s="252">
        <f t="shared" si="15"/>
        <v>156.2162162162162</v>
      </c>
    </row>
    <row r="39" spans="1:7" s="3" customFormat="1">
      <c r="A39" s="158" t="s">
        <v>72</v>
      </c>
      <c r="B39" s="172" t="s">
        <v>13</v>
      </c>
      <c r="C39" s="258" t="s">
        <v>140</v>
      </c>
      <c r="D39" s="283">
        <v>2946.57</v>
      </c>
      <c r="E39" s="283">
        <f>1776456.43/1000</f>
        <v>1776.45643</v>
      </c>
      <c r="F39" s="252">
        <f t="shared" si="14"/>
        <v>-1170.1135700000002</v>
      </c>
      <c r="G39" s="252">
        <f t="shared" si="15"/>
        <v>-39.711039276175356</v>
      </c>
    </row>
    <row r="40" spans="1:7" s="3" customFormat="1" ht="15" customHeight="1">
      <c r="A40" s="158" t="s">
        <v>73</v>
      </c>
      <c r="B40" s="172" t="s">
        <v>14</v>
      </c>
      <c r="C40" s="258" t="s">
        <v>140</v>
      </c>
      <c r="D40" s="283">
        <v>8047.71</v>
      </c>
      <c r="E40" s="283">
        <f>30541.45/1000*E77+5856.83/1000+15404.8/1000+942266.93/1000</f>
        <v>968.94050493999998</v>
      </c>
      <c r="F40" s="252">
        <f t="shared" si="14"/>
        <v>-7078.7694950599998</v>
      </c>
      <c r="G40" s="252">
        <f t="shared" si="15"/>
        <v>-87.960046958203023</v>
      </c>
    </row>
    <row r="41" spans="1:7" s="3" customFormat="1">
      <c r="A41" s="158" t="s">
        <v>74</v>
      </c>
      <c r="B41" s="172" t="s">
        <v>15</v>
      </c>
      <c r="C41" s="258" t="s">
        <v>140</v>
      </c>
      <c r="D41" s="283">
        <v>105.59</v>
      </c>
      <c r="E41" s="283">
        <f>(333246.43/1000+454957.69/1000)*E77</f>
        <v>139.66977006400001</v>
      </c>
      <c r="F41" s="252">
        <f t="shared" si="14"/>
        <v>34.079770064000002</v>
      </c>
      <c r="G41" s="252">
        <f t="shared" si="15"/>
        <v>32.275565928591732</v>
      </c>
    </row>
    <row r="42" spans="1:7" s="3" customFormat="1" ht="47.25">
      <c r="A42" s="158" t="s">
        <v>149</v>
      </c>
      <c r="B42" s="172" t="s">
        <v>122</v>
      </c>
      <c r="C42" s="258" t="s">
        <v>140</v>
      </c>
      <c r="D42" s="283">
        <v>300000</v>
      </c>
      <c r="E42" s="283">
        <f>110035966.2/1000</f>
        <v>110035.96620000001</v>
      </c>
      <c r="F42" s="252">
        <f t="shared" si="14"/>
        <v>-189964.03379999998</v>
      </c>
      <c r="G42" s="252">
        <f t="shared" si="15"/>
        <v>-63.321344599999996</v>
      </c>
    </row>
    <row r="43" spans="1:7">
      <c r="A43" s="159" t="s">
        <v>16</v>
      </c>
      <c r="B43" s="173" t="s">
        <v>150</v>
      </c>
      <c r="C43" s="260" t="s">
        <v>140</v>
      </c>
      <c r="D43" s="277">
        <f t="shared" ref="D43:F43" si="16">D44+D78</f>
        <v>30139.040000000001</v>
      </c>
      <c r="E43" s="277">
        <f t="shared" si="16"/>
        <v>18761.642899223996</v>
      </c>
      <c r="F43" s="277">
        <f t="shared" si="16"/>
        <v>-11377.397100776003</v>
      </c>
      <c r="G43" s="277">
        <f t="shared" si="15"/>
        <v>-37.749699727582573</v>
      </c>
    </row>
    <row r="44" spans="1:7" ht="31.5">
      <c r="A44" s="157" t="s">
        <v>151</v>
      </c>
      <c r="B44" s="169" t="s">
        <v>17</v>
      </c>
      <c r="C44" s="257" t="s">
        <v>140</v>
      </c>
      <c r="D44" s="280">
        <f t="shared" ref="D44:F44" si="17">SUM(D45:D49)</f>
        <v>30139.040000000001</v>
      </c>
      <c r="E44" s="280">
        <f t="shared" si="17"/>
        <v>18761.642899223996</v>
      </c>
      <c r="F44" s="280">
        <f t="shared" si="17"/>
        <v>-11377.397100776003</v>
      </c>
      <c r="G44" s="280">
        <f t="shared" si="15"/>
        <v>-37.749699727582573</v>
      </c>
    </row>
    <row r="45" spans="1:7" s="3" customFormat="1" ht="31.5">
      <c r="A45" s="158" t="s">
        <v>76</v>
      </c>
      <c r="B45" s="170" t="s">
        <v>18</v>
      </c>
      <c r="C45" s="258" t="s">
        <v>140</v>
      </c>
      <c r="D45" s="283">
        <v>20985.93</v>
      </c>
      <c r="E45" s="283">
        <f>(3344750/1000+40013954/1000+23941584/1000+53150/1000+300000/1000)*E77</f>
        <v>11988.189213599999</v>
      </c>
      <c r="F45" s="252">
        <f t="shared" ref="F45:F48" si="18">E45-D45</f>
        <v>-8997.7407864000015</v>
      </c>
      <c r="G45" s="252">
        <f t="shared" si="15"/>
        <v>-42.875111021527289</v>
      </c>
    </row>
    <row r="46" spans="1:7" s="3" customFormat="1">
      <c r="A46" s="158" t="s">
        <v>77</v>
      </c>
      <c r="B46" s="170" t="s">
        <v>171</v>
      </c>
      <c r="C46" s="258" t="s">
        <v>140</v>
      </c>
      <c r="D46" s="283">
        <v>1794.3</v>
      </c>
      <c r="E46" s="283">
        <f>(1752108.17/1000+3605704.18/1000)*E77</f>
        <v>949.40434842000002</v>
      </c>
      <c r="F46" s="252">
        <f t="shared" si="18"/>
        <v>-844.89565157999994</v>
      </c>
      <c r="G46" s="252">
        <f t="shared" si="15"/>
        <v>-47.08775854539374</v>
      </c>
    </row>
    <row r="47" spans="1:7" s="3" customFormat="1">
      <c r="A47" s="158"/>
      <c r="B47" s="170" t="s">
        <v>169</v>
      </c>
      <c r="C47" s="258"/>
      <c r="D47" s="283"/>
      <c r="E47" s="283">
        <f>1783664.87/1000*E77</f>
        <v>316.06541496400001</v>
      </c>
      <c r="F47" s="252">
        <f t="shared" si="18"/>
        <v>316.06541496400001</v>
      </c>
      <c r="G47" s="252"/>
    </row>
    <row r="48" spans="1:7" s="3" customFormat="1">
      <c r="A48" s="158" t="s">
        <v>78</v>
      </c>
      <c r="B48" s="170" t="s">
        <v>19</v>
      </c>
      <c r="C48" s="258" t="s">
        <v>140</v>
      </c>
      <c r="D48" s="283">
        <v>380.75</v>
      </c>
      <c r="E48" s="283">
        <f>(91890/1000+1496164/1000+261554/1000-17480758.28/1000+25504390/1000)*E77+15503.89/1000</f>
        <v>1765.0419683839996</v>
      </c>
      <c r="F48" s="252">
        <f t="shared" si="18"/>
        <v>1384.2919683839996</v>
      </c>
      <c r="G48" s="252">
        <f t="shared" ref="G48" si="19">E48/D48*100-100</f>
        <v>363.56978815075502</v>
      </c>
    </row>
    <row r="49" spans="1:7">
      <c r="A49" s="160" t="s">
        <v>79</v>
      </c>
      <c r="B49" s="169" t="s">
        <v>152</v>
      </c>
      <c r="C49" s="258" t="s">
        <v>140</v>
      </c>
      <c r="D49" s="280">
        <f t="shared" ref="D49:E49" si="20">SUM(D50:D76)</f>
        <v>6978.0600000000013</v>
      </c>
      <c r="E49" s="280">
        <f t="shared" si="20"/>
        <v>3742.9419538559996</v>
      </c>
      <c r="F49" s="280">
        <f t="shared" ref="F49" si="21">SUM(F50:F76)</f>
        <v>-3235.1180461439999</v>
      </c>
      <c r="G49" s="280">
        <f>E49/D49*100-100</f>
        <v>-46.361281590356072</v>
      </c>
    </row>
    <row r="50" spans="1:7" s="3" customFormat="1">
      <c r="A50" s="158" t="s">
        <v>80</v>
      </c>
      <c r="B50" s="172" t="s">
        <v>20</v>
      </c>
      <c r="C50" s="261" t="s">
        <v>140</v>
      </c>
      <c r="D50" s="283">
        <v>378.44</v>
      </c>
      <c r="E50" s="283">
        <f>(755322.75/1000+499887.49/1000+304684.28/1000)*E77</f>
        <v>276.41330894399999</v>
      </c>
      <c r="F50" s="252">
        <f>E50-D50</f>
        <v>-102.026691056</v>
      </c>
      <c r="G50" s="252">
        <f>E50/D50*100-100</f>
        <v>-26.959806324912805</v>
      </c>
    </row>
    <row r="51" spans="1:7" s="3" customFormat="1">
      <c r="A51" s="158" t="s">
        <v>81</v>
      </c>
      <c r="B51" s="172" t="s">
        <v>21</v>
      </c>
      <c r="C51" s="261" t="s">
        <v>140</v>
      </c>
      <c r="D51" s="283"/>
      <c r="E51" s="283"/>
      <c r="F51" s="252"/>
      <c r="G51" s="252"/>
    </row>
    <row r="52" spans="1:7" s="3" customFormat="1">
      <c r="A52" s="158" t="s">
        <v>82</v>
      </c>
      <c r="B52" s="172" t="s">
        <v>22</v>
      </c>
      <c r="C52" s="261" t="s">
        <v>140</v>
      </c>
      <c r="D52" s="283">
        <v>207.47</v>
      </c>
      <c r="E52" s="283"/>
      <c r="F52" s="252">
        <f t="shared" ref="F52:F74" si="22">E52-D52</f>
        <v>-207.47</v>
      </c>
      <c r="G52" s="252">
        <f t="shared" ref="G52:G60" si="23">E52/D52*100-100</f>
        <v>-100</v>
      </c>
    </row>
    <row r="53" spans="1:7" s="3" customFormat="1">
      <c r="A53" s="158" t="s">
        <v>153</v>
      </c>
      <c r="B53" s="172" t="s">
        <v>23</v>
      </c>
      <c r="C53" s="261" t="s">
        <v>140</v>
      </c>
      <c r="D53" s="283">
        <v>2</v>
      </c>
      <c r="E53" s="283"/>
      <c r="F53" s="252">
        <f t="shared" si="22"/>
        <v>-2</v>
      </c>
      <c r="G53" s="252">
        <f t="shared" si="23"/>
        <v>-100</v>
      </c>
    </row>
    <row r="54" spans="1:7" s="3" customFormat="1">
      <c r="A54" s="158" t="s">
        <v>83</v>
      </c>
      <c r="B54" s="172" t="s">
        <v>24</v>
      </c>
      <c r="C54" s="261" t="s">
        <v>140</v>
      </c>
      <c r="D54" s="283">
        <v>164.98</v>
      </c>
      <c r="E54" s="283">
        <f>(10714.28/1000+90142.86/1000+1852651.34/1000)*E77</f>
        <v>346.16170265600005</v>
      </c>
      <c r="F54" s="252">
        <f t="shared" si="22"/>
        <v>181.18170265600006</v>
      </c>
      <c r="G54" s="252">
        <f t="shared" si="23"/>
        <v>109.8204040829192</v>
      </c>
    </row>
    <row r="55" spans="1:7" s="3" customFormat="1">
      <c r="A55" s="158" t="s">
        <v>84</v>
      </c>
      <c r="B55" s="172" t="s">
        <v>25</v>
      </c>
      <c r="C55" s="261" t="s">
        <v>140</v>
      </c>
      <c r="D55" s="283">
        <v>33.89</v>
      </c>
      <c r="E55" s="283">
        <f>246740/1000*E77</f>
        <v>43.722327999999997</v>
      </c>
      <c r="F55" s="252">
        <f t="shared" si="22"/>
        <v>9.8323279999999968</v>
      </c>
      <c r="G55" s="252">
        <f t="shared" si="23"/>
        <v>29.012475656535855</v>
      </c>
    </row>
    <row r="56" spans="1:7" s="3" customFormat="1">
      <c r="A56" s="158" t="s">
        <v>154</v>
      </c>
      <c r="B56" s="172" t="s">
        <v>26</v>
      </c>
      <c r="C56" s="261" t="s">
        <v>140</v>
      </c>
      <c r="D56" s="283">
        <v>1478.24</v>
      </c>
      <c r="E56" s="283">
        <f>(4450500/1000+885547.97/1000)*E77</f>
        <v>945.54770028399992</v>
      </c>
      <c r="F56" s="252">
        <f t="shared" si="22"/>
        <v>-532.69229971600009</v>
      </c>
      <c r="G56" s="252">
        <f t="shared" si="23"/>
        <v>-36.035576071273958</v>
      </c>
    </row>
    <row r="57" spans="1:7" s="77" customFormat="1">
      <c r="A57" s="158" t="s">
        <v>85</v>
      </c>
      <c r="B57" s="172" t="s">
        <v>27</v>
      </c>
      <c r="C57" s="261" t="s">
        <v>140</v>
      </c>
      <c r="D57" s="283">
        <v>616.46</v>
      </c>
      <c r="E57" s="283">
        <f>(20089.28/1000+215000/1000+52250/1000)*E77</f>
        <v>50.916520416000004</v>
      </c>
      <c r="F57" s="252">
        <f t="shared" si="22"/>
        <v>-565.54347958400001</v>
      </c>
      <c r="G57" s="252">
        <f t="shared" si="23"/>
        <v>-91.740498910553811</v>
      </c>
    </row>
    <row r="58" spans="1:7" s="98" customFormat="1">
      <c r="A58" s="158" t="s">
        <v>86</v>
      </c>
      <c r="B58" s="172" t="s">
        <v>28</v>
      </c>
      <c r="C58" s="262" t="s">
        <v>140</v>
      </c>
      <c r="D58" s="283">
        <v>107.17</v>
      </c>
      <c r="E58" s="283">
        <f>1326559.61/1000*E77</f>
        <v>235.066362892</v>
      </c>
      <c r="F58" s="252">
        <f t="shared" si="22"/>
        <v>127.896362892</v>
      </c>
      <c r="G58" s="252">
        <f t="shared" si="23"/>
        <v>119.33970597368665</v>
      </c>
    </row>
    <row r="59" spans="1:7" s="98" customFormat="1">
      <c r="A59" s="158" t="s">
        <v>87</v>
      </c>
      <c r="B59" s="172" t="s">
        <v>29</v>
      </c>
      <c r="C59" s="262" t="s">
        <v>140</v>
      </c>
      <c r="D59" s="283">
        <v>33.97</v>
      </c>
      <c r="E59" s="283"/>
      <c r="F59" s="252">
        <f t="shared" si="22"/>
        <v>-33.97</v>
      </c>
      <c r="G59" s="252">
        <f t="shared" si="23"/>
        <v>-100</v>
      </c>
    </row>
    <row r="60" spans="1:7" s="77" customFormat="1">
      <c r="A60" s="158" t="s">
        <v>88</v>
      </c>
      <c r="B60" s="172" t="s">
        <v>30</v>
      </c>
      <c r="C60" s="261" t="s">
        <v>140</v>
      </c>
      <c r="D60" s="283">
        <v>0.67</v>
      </c>
      <c r="E60" s="283">
        <f>(3828.75/1000+4288.2/1000+765.75/1000)*E77</f>
        <v>1.57401444</v>
      </c>
      <c r="F60" s="252">
        <f t="shared" si="22"/>
        <v>0.90401443999999997</v>
      </c>
      <c r="G60" s="252">
        <f t="shared" si="23"/>
        <v>134.92752835820895</v>
      </c>
    </row>
    <row r="61" spans="1:7" s="98" customFormat="1">
      <c r="A61" s="158" t="s">
        <v>89</v>
      </c>
      <c r="B61" s="172" t="s">
        <v>31</v>
      </c>
      <c r="C61" s="262" t="s">
        <v>140</v>
      </c>
      <c r="D61" s="283"/>
      <c r="E61" s="283">
        <f>92334.96/1000*E77</f>
        <v>16.361754912000002</v>
      </c>
      <c r="F61" s="252">
        <f t="shared" si="22"/>
        <v>16.361754912000002</v>
      </c>
      <c r="G61" s="252"/>
    </row>
    <row r="62" spans="1:7" s="3" customFormat="1">
      <c r="A62" s="158" t="s">
        <v>90</v>
      </c>
      <c r="B62" s="172" t="s">
        <v>32</v>
      </c>
      <c r="C62" s="261" t="s">
        <v>140</v>
      </c>
      <c r="D62" s="283">
        <v>2678.73</v>
      </c>
      <c r="E62" s="283"/>
      <c r="F62" s="252">
        <f t="shared" si="22"/>
        <v>-2678.73</v>
      </c>
      <c r="G62" s="252">
        <f t="shared" ref="G62:G74" si="24">E62/D62*100-100</f>
        <v>-100</v>
      </c>
    </row>
    <row r="63" spans="1:7" s="3" customFormat="1">
      <c r="A63" s="158" t="s">
        <v>91</v>
      </c>
      <c r="B63" s="172" t="s">
        <v>33</v>
      </c>
      <c r="C63" s="261" t="s">
        <v>140</v>
      </c>
      <c r="D63" s="283">
        <v>67.91</v>
      </c>
      <c r="E63" s="283"/>
      <c r="F63" s="252">
        <f t="shared" si="22"/>
        <v>-67.91</v>
      </c>
      <c r="G63" s="252">
        <f t="shared" si="24"/>
        <v>-100</v>
      </c>
    </row>
    <row r="64" spans="1:7" s="3" customFormat="1">
      <c r="A64" s="158" t="s">
        <v>92</v>
      </c>
      <c r="B64" s="172" t="s">
        <v>34</v>
      </c>
      <c r="C64" s="261" t="s">
        <v>140</v>
      </c>
      <c r="D64" s="283">
        <v>167.55500000000001</v>
      </c>
      <c r="E64" s="283">
        <f>270000/1000*E77</f>
        <v>47.844000000000001</v>
      </c>
      <c r="F64" s="252">
        <f t="shared" si="22"/>
        <v>-119.71100000000001</v>
      </c>
      <c r="G64" s="252">
        <f t="shared" si="24"/>
        <v>-71.44579391841485</v>
      </c>
    </row>
    <row r="65" spans="1:7" s="3" customFormat="1">
      <c r="A65" s="158" t="s">
        <v>93</v>
      </c>
      <c r="B65" s="172" t="s">
        <v>35</v>
      </c>
      <c r="C65" s="261" t="s">
        <v>140</v>
      </c>
      <c r="D65" s="283">
        <v>44.71</v>
      </c>
      <c r="E65" s="283">
        <f>(54696.43/1000+673501.48/1000+38178.57/1000+180514.26/1000+490000/1000)*E77</f>
        <v>254.61703912800002</v>
      </c>
      <c r="F65" s="252">
        <f t="shared" si="22"/>
        <v>209.90703912800001</v>
      </c>
      <c r="G65" s="252">
        <f t="shared" si="24"/>
        <v>469.48566121225679</v>
      </c>
    </row>
    <row r="66" spans="1:7" s="3" customFormat="1">
      <c r="A66" s="158" t="s">
        <v>94</v>
      </c>
      <c r="B66" s="172" t="s">
        <v>36</v>
      </c>
      <c r="C66" s="261" t="s">
        <v>140</v>
      </c>
      <c r="D66" s="283">
        <v>6.03</v>
      </c>
      <c r="E66" s="283">
        <f>5166437/1000*E77</f>
        <v>915.49263639999992</v>
      </c>
      <c r="F66" s="252">
        <f t="shared" si="22"/>
        <v>909.46263639999995</v>
      </c>
      <c r="G66" s="252">
        <f t="shared" si="24"/>
        <v>15082.29911111111</v>
      </c>
    </row>
    <row r="67" spans="1:7" s="3" customFormat="1">
      <c r="A67" s="158" t="s">
        <v>95</v>
      </c>
      <c r="B67" s="172" t="s">
        <v>37</v>
      </c>
      <c r="C67" s="261" t="s">
        <v>140</v>
      </c>
      <c r="D67" s="283">
        <v>140.31</v>
      </c>
      <c r="E67" s="283">
        <f>888792/1000*E77</f>
        <v>157.49394240000001</v>
      </c>
      <c r="F67" s="252">
        <f t="shared" si="22"/>
        <v>17.183942400000007</v>
      </c>
      <c r="G67" s="252">
        <f t="shared" si="24"/>
        <v>12.247125935428699</v>
      </c>
    </row>
    <row r="68" spans="1:7" s="3" customFormat="1">
      <c r="A68" s="158" t="s">
        <v>96</v>
      </c>
      <c r="B68" s="172" t="s">
        <v>38</v>
      </c>
      <c r="C68" s="261" t="s">
        <v>140</v>
      </c>
      <c r="D68" s="283"/>
      <c r="E68" s="283"/>
      <c r="F68" s="252">
        <f t="shared" si="22"/>
        <v>0</v>
      </c>
      <c r="G68" s="252"/>
    </row>
    <row r="69" spans="1:7" s="3" customFormat="1">
      <c r="A69" s="158" t="s">
        <v>97</v>
      </c>
      <c r="B69" s="172" t="s">
        <v>39</v>
      </c>
      <c r="C69" s="261" t="s">
        <v>140</v>
      </c>
      <c r="D69" s="283">
        <v>14.79</v>
      </c>
      <c r="E69" s="283"/>
      <c r="F69" s="252">
        <f t="shared" si="22"/>
        <v>-14.79</v>
      </c>
      <c r="G69" s="252">
        <f t="shared" si="24"/>
        <v>-100</v>
      </c>
    </row>
    <row r="70" spans="1:7" s="3" customFormat="1">
      <c r="A70" s="158" t="s">
        <v>98</v>
      </c>
      <c r="B70" s="172" t="s">
        <v>40</v>
      </c>
      <c r="C70" s="261" t="s">
        <v>140</v>
      </c>
      <c r="D70" s="283">
        <v>53.43</v>
      </c>
      <c r="E70" s="283"/>
      <c r="F70" s="252">
        <f t="shared" si="22"/>
        <v>-53.43</v>
      </c>
      <c r="G70" s="252">
        <f t="shared" si="24"/>
        <v>-100</v>
      </c>
    </row>
    <row r="71" spans="1:7" s="3" customFormat="1">
      <c r="A71" s="158" t="s">
        <v>99</v>
      </c>
      <c r="B71" s="172" t="s">
        <v>41</v>
      </c>
      <c r="C71" s="261" t="s">
        <v>140</v>
      </c>
      <c r="D71" s="283">
        <v>194.755</v>
      </c>
      <c r="E71" s="283">
        <f>915978.22/1000*E77</f>
        <v>162.31134058399999</v>
      </c>
      <c r="F71" s="252">
        <f t="shared" si="22"/>
        <v>-32.443659416000003</v>
      </c>
      <c r="G71" s="252">
        <f t="shared" si="24"/>
        <v>-16.658704226335658</v>
      </c>
    </row>
    <row r="72" spans="1:7" s="3" customFormat="1">
      <c r="A72" s="158" t="s">
        <v>100</v>
      </c>
      <c r="B72" s="172" t="s">
        <v>43</v>
      </c>
      <c r="C72" s="261" t="s">
        <v>140</v>
      </c>
      <c r="D72" s="283">
        <v>146.59</v>
      </c>
      <c r="E72" s="283"/>
      <c r="F72" s="252">
        <f t="shared" si="22"/>
        <v>-146.59</v>
      </c>
      <c r="G72" s="252">
        <f t="shared" si="24"/>
        <v>-100</v>
      </c>
    </row>
    <row r="73" spans="1:7" s="3" customFormat="1">
      <c r="A73" s="158" t="s">
        <v>101</v>
      </c>
      <c r="B73" s="172" t="s">
        <v>44</v>
      </c>
      <c r="C73" s="261" t="s">
        <v>140</v>
      </c>
      <c r="D73" s="283">
        <v>5</v>
      </c>
      <c r="E73" s="283">
        <f>133928.98/1000+26785.71/1000</f>
        <v>160.71469000000002</v>
      </c>
      <c r="F73" s="252">
        <f t="shared" si="22"/>
        <v>155.71469000000002</v>
      </c>
      <c r="G73" s="252">
        <f t="shared" si="24"/>
        <v>3114.2937999999999</v>
      </c>
    </row>
    <row r="74" spans="1:7" s="3" customFormat="1" ht="31.5">
      <c r="A74" s="158" t="s">
        <v>102</v>
      </c>
      <c r="B74" s="172" t="s">
        <v>46</v>
      </c>
      <c r="C74" s="261" t="s">
        <v>140</v>
      </c>
      <c r="D74" s="283">
        <v>434.96</v>
      </c>
      <c r="E74" s="283">
        <f>726324/1000*E77</f>
        <v>128.70461279999998</v>
      </c>
      <c r="F74" s="252">
        <f t="shared" si="22"/>
        <v>-306.25538719999997</v>
      </c>
      <c r="G74" s="252">
        <f t="shared" si="24"/>
        <v>-70.410011771197361</v>
      </c>
    </row>
    <row r="75" spans="1:7" s="3" customFormat="1" hidden="1">
      <c r="A75" s="158" t="s">
        <v>103</v>
      </c>
      <c r="B75" s="172" t="s">
        <v>42</v>
      </c>
      <c r="C75" s="261" t="s">
        <v>140</v>
      </c>
      <c r="D75" s="283"/>
      <c r="E75" s="283"/>
      <c r="F75" s="252"/>
      <c r="G75" s="252"/>
    </row>
    <row r="76" spans="1:7" s="3" customFormat="1" hidden="1">
      <c r="A76" s="158" t="s">
        <v>104</v>
      </c>
      <c r="B76" s="172" t="s">
        <v>45</v>
      </c>
      <c r="C76" s="261" t="s">
        <v>140</v>
      </c>
      <c r="D76" s="283"/>
      <c r="E76" s="283"/>
      <c r="F76" s="252"/>
      <c r="G76" s="252"/>
    </row>
    <row r="77" spans="1:7" s="39" customFormat="1" hidden="1">
      <c r="A77" s="161"/>
      <c r="B77" s="174" t="s">
        <v>126</v>
      </c>
      <c r="C77" s="263" t="s">
        <v>140</v>
      </c>
      <c r="D77" s="289"/>
      <c r="E77" s="292">
        <v>0.1772</v>
      </c>
      <c r="F77" s="290"/>
      <c r="G77" s="291"/>
    </row>
    <row r="78" spans="1:7">
      <c r="A78" s="157" t="s">
        <v>155</v>
      </c>
      <c r="B78" s="169" t="s">
        <v>47</v>
      </c>
      <c r="C78" s="257"/>
      <c r="D78" s="280"/>
      <c r="E78" s="280"/>
      <c r="F78" s="281"/>
      <c r="G78" s="282"/>
    </row>
    <row r="79" spans="1:7">
      <c r="A79" s="159" t="s">
        <v>48</v>
      </c>
      <c r="B79" s="173" t="s">
        <v>49</v>
      </c>
      <c r="C79" s="260" t="s">
        <v>140</v>
      </c>
      <c r="D79" s="277">
        <f>D20+D43</f>
        <v>580933.70000000007</v>
      </c>
      <c r="E79" s="277">
        <f>E20+E43</f>
        <v>302646.96301702404</v>
      </c>
      <c r="F79" s="278">
        <f t="shared" ref="F79" si="25">E79-D79</f>
        <v>-278286.73698297603</v>
      </c>
      <c r="G79" s="279">
        <f t="shared" ref="G79" si="26">E79/D79*100-100</f>
        <v>-47.903355750058232</v>
      </c>
    </row>
    <row r="80" spans="1:7" s="36" customFormat="1">
      <c r="A80" s="158" t="s">
        <v>50</v>
      </c>
      <c r="B80" s="170" t="s">
        <v>156</v>
      </c>
      <c r="C80" s="255" t="s">
        <v>140</v>
      </c>
      <c r="D80" s="293"/>
      <c r="E80" s="293"/>
      <c r="F80" s="294"/>
      <c r="G80" s="294"/>
    </row>
    <row r="81" spans="1:7" s="36" customFormat="1" ht="31.5">
      <c r="A81" s="302" t="s">
        <v>105</v>
      </c>
      <c r="B81" s="171" t="s">
        <v>106</v>
      </c>
      <c r="C81" s="259" t="s">
        <v>140</v>
      </c>
      <c r="D81" s="283">
        <v>1051976.7</v>
      </c>
      <c r="E81" s="283"/>
      <c r="F81" s="252"/>
      <c r="G81" s="252"/>
    </row>
    <row r="82" spans="1:7" s="138" customFormat="1">
      <c r="A82" s="162"/>
      <c r="B82" s="175"/>
      <c r="C82" s="264"/>
      <c r="D82" s="296"/>
      <c r="E82" s="296"/>
      <c r="F82" s="297"/>
      <c r="G82" s="297"/>
    </row>
    <row r="83" spans="1:7">
      <c r="A83" s="159" t="s">
        <v>51</v>
      </c>
      <c r="B83" s="173" t="s">
        <v>52</v>
      </c>
      <c r="C83" s="260" t="s">
        <v>140</v>
      </c>
      <c r="D83" s="277">
        <f>D79+D80</f>
        <v>580933.70000000007</v>
      </c>
      <c r="E83" s="277">
        <f>E79+E80+E82</f>
        <v>302646.96301702404</v>
      </c>
      <c r="F83" s="278">
        <f t="shared" ref="F83:F88" si="27">E83-D83</f>
        <v>-278286.73698297603</v>
      </c>
      <c r="G83" s="279">
        <f t="shared" ref="G83:G88" si="28">E83/D83*100-100</f>
        <v>-47.903355750058232</v>
      </c>
    </row>
    <row r="84" spans="1:7" ht="31.5">
      <c r="A84" s="302" t="s">
        <v>53</v>
      </c>
      <c r="B84" s="171" t="s">
        <v>54</v>
      </c>
      <c r="C84" s="150" t="s">
        <v>157</v>
      </c>
      <c r="D84" s="110">
        <v>243264.33</v>
      </c>
      <c r="E84" s="107">
        <f>121503548.025/1000</f>
        <v>121503.54802500001</v>
      </c>
      <c r="F84" s="21">
        <f t="shared" si="27"/>
        <v>-121760.78197499998</v>
      </c>
      <c r="G84" s="55">
        <f t="shared" si="28"/>
        <v>-50.052871284088376</v>
      </c>
    </row>
    <row r="85" spans="1:7">
      <c r="A85" s="371" t="s">
        <v>107</v>
      </c>
      <c r="B85" s="372" t="s">
        <v>108</v>
      </c>
      <c r="C85" s="150" t="s">
        <v>109</v>
      </c>
      <c r="D85" s="110">
        <v>11</v>
      </c>
      <c r="E85" s="107">
        <v>11</v>
      </c>
      <c r="F85" s="21">
        <f t="shared" si="27"/>
        <v>0</v>
      </c>
      <c r="G85" s="55"/>
    </row>
    <row r="86" spans="1:7">
      <c r="A86" s="371"/>
      <c r="B86" s="372"/>
      <c r="C86" s="150" t="s">
        <v>157</v>
      </c>
      <c r="D86" s="110">
        <v>26263.06</v>
      </c>
      <c r="E86" s="110">
        <v>15972.517795000012</v>
      </c>
      <c r="F86" s="21">
        <f t="shared" si="27"/>
        <v>-10290.542204999989</v>
      </c>
      <c r="G86" s="55">
        <f t="shared" si="28"/>
        <v>-39.182571280726577</v>
      </c>
    </row>
    <row r="87" spans="1:7" hidden="1">
      <c r="A87" s="302"/>
      <c r="B87" s="303" t="s">
        <v>158</v>
      </c>
      <c r="C87" s="150"/>
      <c r="D87" s="110"/>
      <c r="E87" s="107"/>
      <c r="F87" s="21">
        <f t="shared" si="27"/>
        <v>0</v>
      </c>
      <c r="G87" s="55" t="e">
        <f t="shared" si="28"/>
        <v>#DIV/0!</v>
      </c>
    </row>
    <row r="88" spans="1:7">
      <c r="A88" s="163" t="s">
        <v>55</v>
      </c>
      <c r="B88" s="176" t="s">
        <v>56</v>
      </c>
      <c r="C88" s="151" t="s">
        <v>172</v>
      </c>
      <c r="D88" s="111">
        <f>D83/D84</f>
        <v>2.388075966583346</v>
      </c>
      <c r="E88" s="112">
        <f>(E83)/E84</f>
        <v>2.4908487689162198</v>
      </c>
      <c r="F88" s="32">
        <f t="shared" si="27"/>
        <v>0.10277280233287378</v>
      </c>
      <c r="G88" s="57">
        <f t="shared" si="28"/>
        <v>4.303581785964397</v>
      </c>
    </row>
    <row r="89" spans="1:7" hidden="1">
      <c r="A89" s="152" t="s">
        <v>57</v>
      </c>
      <c r="B89" s="152"/>
      <c r="C89" s="152"/>
      <c r="D89" s="110"/>
      <c r="E89" s="107"/>
      <c r="F89" s="108"/>
      <c r="G89" s="109"/>
    </row>
    <row r="90" spans="1:7" ht="31.5" hidden="1">
      <c r="A90" s="157">
        <v>8</v>
      </c>
      <c r="B90" s="169" t="s">
        <v>58</v>
      </c>
      <c r="C90" s="149" t="s">
        <v>59</v>
      </c>
      <c r="D90" s="113">
        <f>D92+D93</f>
        <v>151.97</v>
      </c>
      <c r="E90" s="114">
        <f>E92+E93</f>
        <v>0</v>
      </c>
      <c r="F90" s="115">
        <f>E90-D90</f>
        <v>-151.97</v>
      </c>
      <c r="G90" s="116">
        <f>E90/D90*100-100</f>
        <v>-100</v>
      </c>
    </row>
    <row r="91" spans="1:7" hidden="1">
      <c r="A91" s="164"/>
      <c r="B91" s="171" t="s">
        <v>60</v>
      </c>
      <c r="C91" s="150"/>
      <c r="D91" s="117">
        <v>0</v>
      </c>
      <c r="E91" s="118"/>
      <c r="F91" s="119"/>
      <c r="G91" s="120"/>
    </row>
    <row r="92" spans="1:7" hidden="1">
      <c r="A92" s="164" t="s">
        <v>110</v>
      </c>
      <c r="B92" s="171" t="s">
        <v>61</v>
      </c>
      <c r="C92" s="150" t="s">
        <v>159</v>
      </c>
      <c r="D92" s="110">
        <v>139</v>
      </c>
      <c r="E92" s="122"/>
      <c r="F92" s="123">
        <f>E92-D92</f>
        <v>-139</v>
      </c>
      <c r="G92" s="124">
        <f>E92/D92*100-100</f>
        <v>-100</v>
      </c>
    </row>
    <row r="93" spans="1:7" hidden="1">
      <c r="A93" s="164" t="s">
        <v>111</v>
      </c>
      <c r="B93" s="171" t="s">
        <v>62</v>
      </c>
      <c r="C93" s="150" t="s">
        <v>159</v>
      </c>
      <c r="D93" s="110">
        <v>12.97</v>
      </c>
      <c r="E93" s="122"/>
      <c r="F93" s="123">
        <f>E93-D93</f>
        <v>-12.97</v>
      </c>
      <c r="G93" s="124">
        <f>E93/D93*100-100</f>
        <v>-100</v>
      </c>
    </row>
    <row r="94" spans="1:7" ht="31.5" hidden="1">
      <c r="A94" s="157">
        <v>9</v>
      </c>
      <c r="B94" s="169" t="s">
        <v>160</v>
      </c>
      <c r="C94" s="149" t="s">
        <v>63</v>
      </c>
      <c r="D94" s="113">
        <v>75807.727518364598</v>
      </c>
      <c r="E94" s="114" t="e">
        <f>(E28+E45)/E90/12*1000</f>
        <v>#DIV/0!</v>
      </c>
      <c r="F94" s="115" t="e">
        <f>E94-D94</f>
        <v>#DIV/0!</v>
      </c>
      <c r="G94" s="116" t="e">
        <f>E94/D94*100-100</f>
        <v>#DIV/0!</v>
      </c>
    </row>
    <row r="95" spans="1:7" hidden="1">
      <c r="A95" s="164" t="s">
        <v>112</v>
      </c>
      <c r="B95" s="171" t="s">
        <v>161</v>
      </c>
      <c r="C95" s="150" t="s">
        <v>159</v>
      </c>
      <c r="D95" s="121">
        <v>70299.80468320768</v>
      </c>
      <c r="E95" s="122" t="e">
        <f>E28/12/E92*1000</f>
        <v>#DIV/0!</v>
      </c>
      <c r="F95" s="123" t="e">
        <f>E95-D95</f>
        <v>#DIV/0!</v>
      </c>
      <c r="G95" s="124" t="e">
        <f>E95/D95*100-100</f>
        <v>#DIV/0!</v>
      </c>
    </row>
    <row r="96" spans="1:7" ht="16.5" hidden="1" thickBot="1">
      <c r="A96" s="165" t="s">
        <v>113</v>
      </c>
      <c r="B96" s="177" t="s">
        <v>162</v>
      </c>
      <c r="C96" s="153" t="s">
        <v>159</v>
      </c>
      <c r="D96" s="125">
        <v>134836.3531225906</v>
      </c>
      <c r="E96" s="126" t="e">
        <f>E45/12/E93*1000</f>
        <v>#DIV/0!</v>
      </c>
      <c r="F96" s="127" t="e">
        <f>E96-D96</f>
        <v>#DIV/0!</v>
      </c>
      <c r="G96" s="128" t="e">
        <f>E96/D96*100-100</f>
        <v>#DIV/0!</v>
      </c>
    </row>
  </sheetData>
  <mergeCells count="9">
    <mergeCell ref="A85:A86"/>
    <mergeCell ref="B85:B86"/>
    <mergeCell ref="D12:E12"/>
    <mergeCell ref="F12:G12"/>
    <mergeCell ref="B1:F1"/>
    <mergeCell ref="A12:A13"/>
    <mergeCell ref="B12:B13"/>
    <mergeCell ref="C12:C13"/>
    <mergeCell ref="A8:G8"/>
  </mergeCells>
  <pageMargins left="0.31496062992125984" right="0.31496062992125984" top="0.35433070866141736" bottom="0.74803149606299213" header="0.31496062992125984" footer="0.31496062992125984"/>
  <pageSetup paperSize="9" scale="65" fitToWidth="5" fitToHeight="2" orientation="portrait" r:id="rId1"/>
  <rowBreaks count="1" manualBreakCount="1">
    <brk id="57" max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A19" workbookViewId="0">
      <selection activeCell="J12" sqref="J12"/>
    </sheetView>
  </sheetViews>
  <sheetFormatPr defaultRowHeight="12"/>
  <cols>
    <col min="1" max="8" width="9.42578125" style="340" bestFit="1" customWidth="1"/>
    <col min="9" max="9" width="11.28515625" style="340" bestFit="1" customWidth="1"/>
    <col min="10" max="26" width="9.42578125" style="340" bestFit="1" customWidth="1"/>
    <col min="27" max="16384" width="9.140625" style="340"/>
  </cols>
  <sheetData>
    <row r="1" spans="1:26" s="304" customFormat="1" ht="12.75" customHeight="1"/>
    <row r="2" spans="1:26" s="304" customFormat="1">
      <c r="A2" s="416" t="s">
        <v>193</v>
      </c>
      <c r="B2" s="416"/>
      <c r="C2" s="416"/>
      <c r="D2" s="416"/>
      <c r="E2" s="416"/>
      <c r="F2" s="416"/>
      <c r="G2" s="416"/>
      <c r="H2" s="416"/>
    </row>
    <row r="3" spans="1:26" s="304" customFormat="1">
      <c r="A3" s="417" t="s">
        <v>194</v>
      </c>
      <c r="B3" s="417"/>
      <c r="C3" s="417"/>
      <c r="D3" s="417"/>
      <c r="E3" s="417"/>
      <c r="F3" s="417"/>
      <c r="G3" s="417"/>
    </row>
    <row r="4" spans="1:26" s="304" customFormat="1">
      <c r="A4" s="418" t="s">
        <v>195</v>
      </c>
      <c r="B4" s="418"/>
      <c r="C4" s="418"/>
      <c r="D4" s="418"/>
      <c r="E4" s="418"/>
      <c r="F4" s="418"/>
      <c r="G4" s="418"/>
    </row>
    <row r="5" spans="1:26" s="304" customFormat="1">
      <c r="A5" s="419"/>
      <c r="B5" s="419"/>
      <c r="C5" s="419"/>
      <c r="D5" s="419"/>
      <c r="E5" s="419"/>
      <c r="F5" s="419"/>
      <c r="G5" s="419"/>
    </row>
    <row r="6" spans="1:26" s="304" customFormat="1"/>
    <row r="7" spans="1:26" s="305" customFormat="1" ht="65.25" customHeight="1">
      <c r="A7" s="413" t="s">
        <v>1</v>
      </c>
      <c r="B7" s="413" t="s">
        <v>196</v>
      </c>
      <c r="C7" s="413"/>
      <c r="D7" s="413"/>
      <c r="E7" s="413"/>
      <c r="F7" s="413"/>
      <c r="G7" s="413"/>
      <c r="H7" s="413" t="s">
        <v>197</v>
      </c>
      <c r="I7" s="413" t="s">
        <v>198</v>
      </c>
      <c r="J7" s="413"/>
      <c r="K7" s="413"/>
      <c r="L7" s="413"/>
      <c r="M7" s="413" t="s">
        <v>199</v>
      </c>
      <c r="N7" s="413"/>
      <c r="O7" s="413"/>
      <c r="P7" s="413"/>
      <c r="Q7" s="413" t="s">
        <v>200</v>
      </c>
      <c r="R7" s="413"/>
      <c r="S7" s="413"/>
      <c r="T7" s="413"/>
      <c r="U7" s="413"/>
      <c r="V7" s="413"/>
      <c r="W7" s="413"/>
      <c r="X7" s="413"/>
      <c r="Y7" s="413" t="s">
        <v>201</v>
      </c>
      <c r="Z7" s="413" t="s">
        <v>202</v>
      </c>
    </row>
    <row r="8" spans="1:26" s="305" customFormat="1" ht="82.5" customHeight="1">
      <c r="A8" s="413"/>
      <c r="B8" s="413" t="s">
        <v>203</v>
      </c>
      <c r="C8" s="413" t="s">
        <v>204</v>
      </c>
      <c r="D8" s="413" t="s">
        <v>131</v>
      </c>
      <c r="E8" s="413" t="s">
        <v>205</v>
      </c>
      <c r="F8" s="413"/>
      <c r="G8" s="413" t="s">
        <v>206</v>
      </c>
      <c r="H8" s="413"/>
      <c r="I8" s="413" t="s">
        <v>207</v>
      </c>
      <c r="J8" s="413" t="s">
        <v>208</v>
      </c>
      <c r="K8" s="413" t="s">
        <v>124</v>
      </c>
      <c r="L8" s="413" t="s">
        <v>209</v>
      </c>
      <c r="M8" s="413" t="s">
        <v>210</v>
      </c>
      <c r="N8" s="413"/>
      <c r="O8" s="413" t="s">
        <v>211</v>
      </c>
      <c r="P8" s="413" t="s">
        <v>212</v>
      </c>
      <c r="Q8" s="413" t="s">
        <v>213</v>
      </c>
      <c r="R8" s="413"/>
      <c r="S8" s="413" t="s">
        <v>214</v>
      </c>
      <c r="T8" s="413"/>
      <c r="U8" s="413" t="s">
        <v>215</v>
      </c>
      <c r="V8" s="413"/>
      <c r="W8" s="413" t="s">
        <v>216</v>
      </c>
      <c r="X8" s="413"/>
      <c r="Y8" s="413"/>
      <c r="Z8" s="413"/>
    </row>
    <row r="9" spans="1:26" s="307" customFormat="1" ht="66.75" customHeight="1">
      <c r="A9" s="413"/>
      <c r="B9" s="413"/>
      <c r="C9" s="413"/>
      <c r="D9" s="413"/>
      <c r="E9" s="306" t="s">
        <v>207</v>
      </c>
      <c r="F9" s="306" t="s">
        <v>208</v>
      </c>
      <c r="G9" s="413"/>
      <c r="H9" s="413"/>
      <c r="I9" s="413"/>
      <c r="J9" s="413"/>
      <c r="K9" s="413"/>
      <c r="L9" s="413"/>
      <c r="M9" s="306" t="s">
        <v>8</v>
      </c>
      <c r="N9" s="306" t="s">
        <v>217</v>
      </c>
      <c r="O9" s="413"/>
      <c r="P9" s="413"/>
      <c r="Q9" s="306" t="s">
        <v>218</v>
      </c>
      <c r="R9" s="306" t="s">
        <v>219</v>
      </c>
      <c r="S9" s="306" t="s">
        <v>218</v>
      </c>
      <c r="T9" s="306" t="s">
        <v>219</v>
      </c>
      <c r="U9" s="306" t="s">
        <v>207</v>
      </c>
      <c r="V9" s="306" t="s">
        <v>208</v>
      </c>
      <c r="W9" s="306" t="s">
        <v>218</v>
      </c>
      <c r="X9" s="306" t="s">
        <v>219</v>
      </c>
      <c r="Y9" s="413"/>
      <c r="Z9" s="413"/>
    </row>
    <row r="10" spans="1:26" s="304" customFormat="1">
      <c r="A10" s="308">
        <v>1</v>
      </c>
      <c r="B10" s="308">
        <v>2</v>
      </c>
      <c r="C10" s="308">
        <v>3</v>
      </c>
      <c r="D10" s="308">
        <v>4</v>
      </c>
      <c r="E10" s="308">
        <v>5</v>
      </c>
      <c r="F10" s="308">
        <v>6</v>
      </c>
      <c r="G10" s="308">
        <v>7</v>
      </c>
      <c r="H10" s="308">
        <v>8</v>
      </c>
      <c r="I10" s="306">
        <v>9</v>
      </c>
      <c r="J10" s="306">
        <v>10</v>
      </c>
      <c r="K10" s="306">
        <v>11</v>
      </c>
      <c r="L10" s="306">
        <v>12</v>
      </c>
      <c r="M10" s="308">
        <v>13</v>
      </c>
      <c r="N10" s="308">
        <v>14</v>
      </c>
      <c r="O10" s="308">
        <v>15</v>
      </c>
      <c r="P10" s="308">
        <v>16</v>
      </c>
      <c r="Q10" s="306">
        <v>17</v>
      </c>
      <c r="R10" s="306">
        <v>18</v>
      </c>
      <c r="S10" s="306">
        <v>19</v>
      </c>
      <c r="T10" s="306">
        <v>20</v>
      </c>
      <c r="U10" s="306">
        <v>21</v>
      </c>
      <c r="V10" s="306">
        <v>22</v>
      </c>
      <c r="W10" s="306">
        <v>23</v>
      </c>
      <c r="X10" s="306">
        <v>24</v>
      </c>
      <c r="Y10" s="306">
        <v>25</v>
      </c>
      <c r="Z10" s="306">
        <v>26</v>
      </c>
    </row>
    <row r="11" spans="1:26" s="304" customFormat="1" ht="15.75" customHeight="1">
      <c r="A11" s="391">
        <v>1</v>
      </c>
      <c r="B11" s="392" t="s">
        <v>114</v>
      </c>
      <c r="C11" s="309" t="s">
        <v>220</v>
      </c>
      <c r="D11" s="309"/>
      <c r="E11" s="309"/>
      <c r="F11" s="309"/>
      <c r="G11" s="309"/>
      <c r="H11" s="309"/>
      <c r="I11" s="309"/>
      <c r="J11" s="309"/>
      <c r="K11" s="309"/>
      <c r="L11" s="309"/>
      <c r="M11" s="414"/>
      <c r="N11" s="414"/>
      <c r="O11" s="309"/>
      <c r="P11" s="309"/>
      <c r="Q11" s="310"/>
      <c r="R11" s="310"/>
      <c r="S11" s="310"/>
      <c r="T11" s="310"/>
      <c r="U11" s="310"/>
      <c r="V11" s="310"/>
      <c r="W11" s="310"/>
      <c r="X11" s="310"/>
      <c r="Y11" s="310"/>
      <c r="Z11" s="310"/>
    </row>
    <row r="12" spans="1:26" s="304" customFormat="1" ht="144">
      <c r="A12" s="391"/>
      <c r="B12" s="392"/>
      <c r="C12" s="311" t="s">
        <v>221</v>
      </c>
      <c r="D12" s="312" t="s">
        <v>222</v>
      </c>
      <c r="E12" s="313">
        <v>2919</v>
      </c>
      <c r="F12" s="312">
        <v>0</v>
      </c>
      <c r="G12" s="312" t="s">
        <v>223</v>
      </c>
      <c r="H12" s="404">
        <v>-516784</v>
      </c>
      <c r="I12" s="314">
        <v>87339.6</v>
      </c>
      <c r="J12" s="312">
        <v>0</v>
      </c>
      <c r="K12" s="315">
        <f>J12-I12</f>
        <v>-87339.6</v>
      </c>
      <c r="L12" s="306" t="s">
        <v>224</v>
      </c>
      <c r="M12" s="414"/>
      <c r="N12" s="414"/>
      <c r="O12" s="312" t="s">
        <v>225</v>
      </c>
      <c r="P12" s="312" t="s">
        <v>225</v>
      </c>
      <c r="Q12" s="410">
        <v>142928.57</v>
      </c>
      <c r="R12" s="410"/>
      <c r="S12" s="411">
        <v>62.63</v>
      </c>
      <c r="T12" s="411">
        <v>63.63</v>
      </c>
      <c r="U12" s="412">
        <v>20</v>
      </c>
      <c r="V12" s="412">
        <v>14.33</v>
      </c>
      <c r="W12" s="408" t="s">
        <v>226</v>
      </c>
      <c r="X12" s="408" t="s">
        <v>226</v>
      </c>
      <c r="Y12" s="409"/>
      <c r="Z12" s="409"/>
    </row>
    <row r="13" spans="1:26" s="304" customFormat="1" ht="84">
      <c r="A13" s="391"/>
      <c r="B13" s="392"/>
      <c r="C13" s="311" t="s">
        <v>227</v>
      </c>
      <c r="D13" s="312" t="s">
        <v>222</v>
      </c>
      <c r="E13" s="313">
        <v>140</v>
      </c>
      <c r="F13" s="312">
        <v>0</v>
      </c>
      <c r="G13" s="312" t="s">
        <v>223</v>
      </c>
      <c r="H13" s="405"/>
      <c r="I13" s="314">
        <v>4596.53</v>
      </c>
      <c r="J13" s="312">
        <v>0</v>
      </c>
      <c r="K13" s="315">
        <f>J13-I13</f>
        <v>-4596.53</v>
      </c>
      <c r="L13" s="306" t="s">
        <v>224</v>
      </c>
      <c r="M13" s="414"/>
      <c r="N13" s="414"/>
      <c r="O13" s="312"/>
      <c r="P13" s="312"/>
      <c r="Q13" s="410"/>
      <c r="R13" s="410"/>
      <c r="S13" s="411"/>
      <c r="T13" s="411"/>
      <c r="U13" s="412"/>
      <c r="V13" s="412"/>
      <c r="W13" s="408"/>
      <c r="X13" s="408"/>
      <c r="Y13" s="409"/>
      <c r="Z13" s="409"/>
    </row>
    <row r="14" spans="1:26" s="304" customFormat="1">
      <c r="A14" s="391"/>
      <c r="B14" s="392"/>
      <c r="C14" s="309" t="s">
        <v>228</v>
      </c>
      <c r="D14" s="309"/>
      <c r="E14" s="309"/>
      <c r="F14" s="309"/>
      <c r="G14" s="309"/>
      <c r="H14" s="405"/>
      <c r="I14" s="309"/>
      <c r="J14" s="309"/>
      <c r="K14" s="309"/>
      <c r="L14" s="309"/>
      <c r="M14" s="414"/>
      <c r="N14" s="414"/>
      <c r="O14" s="312"/>
      <c r="P14" s="312"/>
      <c r="Q14" s="410"/>
      <c r="R14" s="410"/>
      <c r="S14" s="411"/>
      <c r="T14" s="411"/>
      <c r="U14" s="412"/>
      <c r="V14" s="412"/>
      <c r="W14" s="408"/>
      <c r="X14" s="408"/>
      <c r="Y14" s="409"/>
      <c r="Z14" s="409"/>
    </row>
    <row r="15" spans="1:26" s="304" customFormat="1" ht="72">
      <c r="A15" s="391"/>
      <c r="B15" s="392"/>
      <c r="C15" s="316" t="s">
        <v>229</v>
      </c>
      <c r="D15" s="312" t="s">
        <v>222</v>
      </c>
      <c r="E15" s="317">
        <v>5499</v>
      </c>
      <c r="F15" s="317">
        <v>0</v>
      </c>
      <c r="G15" s="312" t="s">
        <v>223</v>
      </c>
      <c r="H15" s="405"/>
      <c r="I15" s="318">
        <v>51472.1</v>
      </c>
      <c r="J15" s="312">
        <v>0</v>
      </c>
      <c r="K15" s="315">
        <f>J15-I15</f>
        <v>-51472.1</v>
      </c>
      <c r="L15" s="306" t="s">
        <v>224</v>
      </c>
      <c r="M15" s="414"/>
      <c r="N15" s="414"/>
      <c r="O15" s="312" t="s">
        <v>225</v>
      </c>
      <c r="P15" s="312" t="s">
        <v>225</v>
      </c>
      <c r="Q15" s="410"/>
      <c r="R15" s="410"/>
      <c r="S15" s="411"/>
      <c r="T15" s="411"/>
      <c r="U15" s="412"/>
      <c r="V15" s="412"/>
      <c r="W15" s="408"/>
      <c r="X15" s="408"/>
      <c r="Y15" s="409"/>
      <c r="Z15" s="409"/>
    </row>
    <row r="16" spans="1:26" s="304" customFormat="1" ht="36">
      <c r="A16" s="391"/>
      <c r="B16" s="392"/>
      <c r="C16" s="319" t="s">
        <v>230</v>
      </c>
      <c r="D16" s="309"/>
      <c r="E16" s="309"/>
      <c r="F16" s="309"/>
      <c r="G16" s="309"/>
      <c r="H16" s="405"/>
      <c r="I16" s="309"/>
      <c r="J16" s="309"/>
      <c r="K16" s="309"/>
      <c r="L16" s="309"/>
      <c r="M16" s="414"/>
      <c r="N16" s="414"/>
      <c r="O16" s="312"/>
      <c r="P16" s="312"/>
      <c r="Q16" s="410"/>
      <c r="R16" s="410"/>
      <c r="S16" s="411"/>
      <c r="T16" s="411"/>
      <c r="U16" s="412"/>
      <c r="V16" s="412"/>
      <c r="W16" s="408"/>
      <c r="X16" s="408"/>
      <c r="Y16" s="409"/>
      <c r="Z16" s="409"/>
    </row>
    <row r="17" spans="1:26" s="304" customFormat="1">
      <c r="A17" s="391"/>
      <c r="B17" s="392"/>
      <c r="C17" s="309" t="s">
        <v>231</v>
      </c>
      <c r="D17" s="309"/>
      <c r="E17" s="309"/>
      <c r="F17" s="309"/>
      <c r="G17" s="309"/>
      <c r="H17" s="405"/>
      <c r="I17" s="309"/>
      <c r="J17" s="309"/>
      <c r="K17" s="309"/>
      <c r="L17" s="309"/>
      <c r="M17" s="414"/>
      <c r="N17" s="414"/>
      <c r="O17" s="309"/>
      <c r="P17" s="309"/>
      <c r="Q17" s="410"/>
      <c r="R17" s="410"/>
      <c r="S17" s="411"/>
      <c r="T17" s="411"/>
      <c r="U17" s="412"/>
      <c r="V17" s="412"/>
      <c r="W17" s="408"/>
      <c r="X17" s="408"/>
      <c r="Y17" s="409"/>
      <c r="Z17" s="409"/>
    </row>
    <row r="18" spans="1:26" s="304" customFormat="1" ht="120">
      <c r="A18" s="391"/>
      <c r="B18" s="392"/>
      <c r="C18" s="320" t="s">
        <v>232</v>
      </c>
      <c r="D18" s="312" t="s">
        <v>233</v>
      </c>
      <c r="E18" s="321">
        <v>1</v>
      </c>
      <c r="F18" s="321">
        <v>0</v>
      </c>
      <c r="G18" s="312" t="s">
        <v>223</v>
      </c>
      <c r="H18" s="405"/>
      <c r="I18" s="322">
        <v>71975.94</v>
      </c>
      <c r="J18" s="312">
        <v>0</v>
      </c>
      <c r="K18" s="315">
        <f t="shared" ref="K18:K25" si="0">J18-I18</f>
        <v>-71975.94</v>
      </c>
      <c r="L18" s="306" t="s">
        <v>224</v>
      </c>
      <c r="M18" s="414"/>
      <c r="N18" s="414"/>
      <c r="O18" s="312" t="s">
        <v>225</v>
      </c>
      <c r="P18" s="312" t="s">
        <v>225</v>
      </c>
      <c r="Q18" s="410"/>
      <c r="R18" s="410"/>
      <c r="S18" s="411"/>
      <c r="T18" s="411"/>
      <c r="U18" s="412"/>
      <c r="V18" s="412"/>
      <c r="W18" s="408"/>
      <c r="X18" s="408"/>
      <c r="Y18" s="409"/>
      <c r="Z18" s="409"/>
    </row>
    <row r="19" spans="1:26" s="304" customFormat="1" ht="120">
      <c r="A19" s="391"/>
      <c r="B19" s="392"/>
      <c r="C19" s="323" t="s">
        <v>234</v>
      </c>
      <c r="D19" s="312" t="s">
        <v>233</v>
      </c>
      <c r="E19" s="324">
        <v>4</v>
      </c>
      <c r="F19" s="324">
        <v>0</v>
      </c>
      <c r="G19" s="312" t="s">
        <v>223</v>
      </c>
      <c r="H19" s="415"/>
      <c r="I19" s="325">
        <v>15974.4</v>
      </c>
      <c r="J19" s="312">
        <v>0</v>
      </c>
      <c r="K19" s="315">
        <f t="shared" si="0"/>
        <v>-15974.4</v>
      </c>
      <c r="L19" s="306" t="s">
        <v>224</v>
      </c>
      <c r="M19" s="326"/>
      <c r="N19" s="326"/>
      <c r="O19" s="312" t="s">
        <v>225</v>
      </c>
      <c r="P19" s="312" t="s">
        <v>225</v>
      </c>
      <c r="Q19" s="410"/>
      <c r="R19" s="410"/>
      <c r="S19" s="411"/>
      <c r="T19" s="411"/>
      <c r="U19" s="412"/>
      <c r="V19" s="412"/>
      <c r="W19" s="408"/>
      <c r="X19" s="408"/>
      <c r="Y19" s="409"/>
      <c r="Z19" s="409"/>
    </row>
    <row r="20" spans="1:26" s="304" customFormat="1">
      <c r="A20" s="391"/>
      <c r="B20" s="392"/>
      <c r="C20" s="327" t="s">
        <v>235</v>
      </c>
      <c r="D20" s="327"/>
      <c r="E20" s="327"/>
      <c r="F20" s="327"/>
      <c r="G20" s="327"/>
      <c r="H20" s="327"/>
      <c r="I20" s="328">
        <f>SUM(I12:I19)</f>
        <v>231358.57</v>
      </c>
      <c r="J20" s="328">
        <f>SUM(J12:J19)</f>
        <v>0</v>
      </c>
      <c r="K20" s="329">
        <f t="shared" si="0"/>
        <v>-231358.57</v>
      </c>
      <c r="L20" s="327"/>
      <c r="M20" s="330">
        <f>SUM(M11:M19)</f>
        <v>0</v>
      </c>
      <c r="N20" s="330">
        <f>SUM(N11:N19)</f>
        <v>0</v>
      </c>
      <c r="O20" s="327"/>
      <c r="P20" s="327"/>
      <c r="Q20" s="331">
        <f>Q12</f>
        <v>142928.57</v>
      </c>
      <c r="R20" s="331">
        <f>R12</f>
        <v>0</v>
      </c>
      <c r="S20" s="332"/>
      <c r="T20" s="332"/>
      <c r="U20" s="333">
        <f>U12</f>
        <v>20</v>
      </c>
      <c r="V20" s="333">
        <f>V12</f>
        <v>14.33</v>
      </c>
      <c r="W20" s="332"/>
      <c r="X20" s="332"/>
      <c r="Y20" s="332"/>
      <c r="Z20" s="332"/>
    </row>
    <row r="21" spans="1:26" ht="48">
      <c r="A21" s="401">
        <v>2</v>
      </c>
      <c r="B21" s="399" t="s">
        <v>236</v>
      </c>
      <c r="C21" s="334" t="s">
        <v>237</v>
      </c>
      <c r="D21" s="335" t="s">
        <v>233</v>
      </c>
      <c r="E21" s="306">
        <v>2</v>
      </c>
      <c r="F21" s="335">
        <v>0</v>
      </c>
      <c r="G21" s="335" t="s">
        <v>223</v>
      </c>
      <c r="H21" s="404">
        <v>-516784</v>
      </c>
      <c r="I21" s="336">
        <v>750.92</v>
      </c>
      <c r="J21" s="335">
        <v>0</v>
      </c>
      <c r="K21" s="337">
        <f t="shared" si="0"/>
        <v>-750.92</v>
      </c>
      <c r="L21" s="338" t="s">
        <v>224</v>
      </c>
      <c r="M21" s="339"/>
      <c r="N21" s="339"/>
      <c r="O21" s="335" t="s">
        <v>225</v>
      </c>
      <c r="P21" s="335" t="s">
        <v>225</v>
      </c>
      <c r="Q21" s="393">
        <v>0</v>
      </c>
      <c r="R21" s="393">
        <v>0</v>
      </c>
      <c r="S21" s="406" t="s">
        <v>238</v>
      </c>
      <c r="T21" s="406" t="s">
        <v>238</v>
      </c>
      <c r="U21" s="393" t="s">
        <v>238</v>
      </c>
      <c r="V21" s="393" t="s">
        <v>238</v>
      </c>
      <c r="W21" s="393" t="s">
        <v>238</v>
      </c>
      <c r="X21" s="393" t="s">
        <v>238</v>
      </c>
      <c r="Y21" s="393" t="s">
        <v>238</v>
      </c>
      <c r="Z21" s="395"/>
    </row>
    <row r="22" spans="1:26" ht="72">
      <c r="A22" s="394"/>
      <c r="B22" s="403"/>
      <c r="C22" s="341" t="s">
        <v>239</v>
      </c>
      <c r="D22" s="335" t="s">
        <v>233</v>
      </c>
      <c r="E22" s="342">
        <v>3</v>
      </c>
      <c r="F22" s="335">
        <v>0</v>
      </c>
      <c r="G22" s="335" t="s">
        <v>223</v>
      </c>
      <c r="H22" s="405"/>
      <c r="I22" s="343">
        <v>442.2</v>
      </c>
      <c r="J22" s="335">
        <v>0</v>
      </c>
      <c r="K22" s="337">
        <f t="shared" si="0"/>
        <v>-442.2</v>
      </c>
      <c r="L22" s="338" t="s">
        <v>224</v>
      </c>
      <c r="M22" s="339"/>
      <c r="N22" s="339"/>
      <c r="O22" s="335" t="s">
        <v>225</v>
      </c>
      <c r="P22" s="335" t="s">
        <v>225</v>
      </c>
      <c r="Q22" s="394"/>
      <c r="R22" s="394"/>
      <c r="S22" s="407"/>
      <c r="T22" s="407"/>
      <c r="U22" s="394"/>
      <c r="V22" s="394"/>
      <c r="W22" s="394"/>
      <c r="X22" s="394"/>
      <c r="Y22" s="394"/>
      <c r="Z22" s="396"/>
    </row>
    <row r="23" spans="1:26" ht="48">
      <c r="A23" s="394"/>
      <c r="B23" s="403"/>
      <c r="C23" s="341" t="s">
        <v>240</v>
      </c>
      <c r="D23" s="335" t="s">
        <v>233</v>
      </c>
      <c r="E23" s="342">
        <v>1</v>
      </c>
      <c r="F23" s="342">
        <v>0</v>
      </c>
      <c r="G23" s="335" t="s">
        <v>223</v>
      </c>
      <c r="H23" s="405"/>
      <c r="I23" s="343">
        <v>82.6</v>
      </c>
      <c r="J23" s="335">
        <v>0</v>
      </c>
      <c r="K23" s="337">
        <f t="shared" si="0"/>
        <v>-82.6</v>
      </c>
      <c r="L23" s="338" t="s">
        <v>224</v>
      </c>
      <c r="M23" s="339"/>
      <c r="N23" s="339"/>
      <c r="O23" s="335" t="s">
        <v>225</v>
      </c>
      <c r="P23" s="335" t="s">
        <v>225</v>
      </c>
      <c r="Q23" s="394"/>
      <c r="R23" s="394"/>
      <c r="S23" s="407"/>
      <c r="T23" s="407"/>
      <c r="U23" s="394"/>
      <c r="V23" s="394"/>
      <c r="W23" s="394"/>
      <c r="X23" s="394"/>
      <c r="Y23" s="394"/>
      <c r="Z23" s="396"/>
    </row>
    <row r="24" spans="1:26">
      <c r="A24" s="402"/>
      <c r="B24" s="400"/>
      <c r="C24" s="344" t="s">
        <v>241</v>
      </c>
      <c r="D24" s="344"/>
      <c r="E24" s="344"/>
      <c r="F24" s="344"/>
      <c r="G24" s="344"/>
      <c r="H24" s="344"/>
      <c r="I24" s="345">
        <f>SUM(I21:I23)</f>
        <v>1275.7199999999998</v>
      </c>
      <c r="J24" s="345">
        <f>SUM(J21:J23)</f>
        <v>0</v>
      </c>
      <c r="K24" s="346">
        <f t="shared" si="0"/>
        <v>-1275.7199999999998</v>
      </c>
      <c r="L24" s="344"/>
      <c r="M24" s="347">
        <f>M21</f>
        <v>0</v>
      </c>
      <c r="N24" s="347">
        <f>N21</f>
        <v>0</v>
      </c>
      <c r="O24" s="344"/>
      <c r="P24" s="344"/>
      <c r="Q24" s="333" t="s">
        <v>238</v>
      </c>
      <c r="R24" s="333" t="s">
        <v>238</v>
      </c>
      <c r="S24" s="332"/>
      <c r="T24" s="332"/>
      <c r="U24" s="332"/>
      <c r="V24" s="332"/>
      <c r="W24" s="332"/>
      <c r="X24" s="332"/>
      <c r="Y24" s="332"/>
      <c r="Z24" s="332"/>
    </row>
    <row r="25" spans="1:26" ht="108">
      <c r="A25" s="397">
        <v>3</v>
      </c>
      <c r="B25" s="399" t="s">
        <v>125</v>
      </c>
      <c r="C25" s="348" t="s">
        <v>242</v>
      </c>
      <c r="D25" s="335" t="s">
        <v>222</v>
      </c>
      <c r="E25" s="349">
        <v>740</v>
      </c>
      <c r="F25" s="349">
        <v>0</v>
      </c>
      <c r="G25" s="335" t="s">
        <v>223</v>
      </c>
      <c r="H25" s="350">
        <v>-516784</v>
      </c>
      <c r="I25" s="351">
        <v>34944.07</v>
      </c>
      <c r="J25" s="349">
        <v>0</v>
      </c>
      <c r="K25" s="337">
        <f t="shared" si="0"/>
        <v>-34944.07</v>
      </c>
      <c r="L25" s="338" t="s">
        <v>224</v>
      </c>
      <c r="M25" s="339">
        <f>'[1]сводная '!C44</f>
        <v>3129.4</v>
      </c>
      <c r="N25" s="339">
        <f>'[1]сводная '!C45</f>
        <v>816.9</v>
      </c>
      <c r="O25" s="335" t="s">
        <v>225</v>
      </c>
      <c r="P25" s="335" t="s">
        <v>225</v>
      </c>
      <c r="Q25" s="352">
        <v>57757.86</v>
      </c>
      <c r="R25" s="352">
        <v>0</v>
      </c>
      <c r="S25" s="353">
        <v>68.760000000000005</v>
      </c>
      <c r="T25" s="353"/>
      <c r="U25" s="354">
        <v>29</v>
      </c>
      <c r="V25" s="354"/>
      <c r="W25" s="355" t="s">
        <v>226</v>
      </c>
      <c r="X25" s="355"/>
      <c r="Y25" s="356"/>
      <c r="Z25" s="356"/>
    </row>
    <row r="26" spans="1:26">
      <c r="A26" s="398"/>
      <c r="B26" s="400"/>
      <c r="C26" s="344" t="s">
        <v>235</v>
      </c>
      <c r="D26" s="344"/>
      <c r="E26" s="344"/>
      <c r="F26" s="344"/>
      <c r="G26" s="344"/>
      <c r="H26" s="344"/>
      <c r="I26" s="345">
        <f>SUM(I25:I25)</f>
        <v>34944.07</v>
      </c>
      <c r="J26" s="345">
        <f>SUM(J25:J25)</f>
        <v>0</v>
      </c>
      <c r="K26" s="345">
        <f>SUM(K25:K25)</f>
        <v>-34944.07</v>
      </c>
      <c r="L26" s="344"/>
      <c r="M26" s="347">
        <f>M25</f>
        <v>3129.4</v>
      </c>
      <c r="N26" s="347">
        <f>N25</f>
        <v>816.9</v>
      </c>
      <c r="O26" s="344"/>
      <c r="P26" s="344"/>
      <c r="Q26" s="357">
        <f>Q25</f>
        <v>57757.86</v>
      </c>
      <c r="R26" s="357">
        <f>R25</f>
        <v>0</v>
      </c>
      <c r="S26" s="358"/>
      <c r="T26" s="358"/>
      <c r="U26" s="359">
        <f>U25</f>
        <v>29</v>
      </c>
      <c r="V26" s="359">
        <f>V25</f>
        <v>0</v>
      </c>
      <c r="W26" s="358"/>
      <c r="X26" s="358"/>
      <c r="Y26" s="358"/>
      <c r="Z26" s="358"/>
    </row>
    <row r="27" spans="1:26">
      <c r="A27" s="391">
        <v>4</v>
      </c>
      <c r="B27" s="392" t="s">
        <v>120</v>
      </c>
      <c r="C27" s="309" t="s">
        <v>220</v>
      </c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1"/>
      <c r="R27" s="361"/>
      <c r="S27" s="362"/>
      <c r="T27" s="362"/>
      <c r="U27" s="361"/>
      <c r="V27" s="361"/>
      <c r="W27" s="361"/>
      <c r="X27" s="361"/>
      <c r="Y27" s="361"/>
      <c r="Z27" s="361"/>
    </row>
    <row r="28" spans="1:26" ht="108">
      <c r="A28" s="391"/>
      <c r="B28" s="392"/>
      <c r="C28" s="363" t="s">
        <v>243</v>
      </c>
      <c r="D28" s="312" t="s">
        <v>222</v>
      </c>
      <c r="E28" s="312">
        <v>800</v>
      </c>
      <c r="F28" s="312">
        <v>0</v>
      </c>
      <c r="G28" s="312" t="s">
        <v>223</v>
      </c>
      <c r="H28" s="315">
        <v>-516784</v>
      </c>
      <c r="I28" s="364">
        <v>123521.4</v>
      </c>
      <c r="J28" s="312">
        <v>0</v>
      </c>
      <c r="K28" s="315">
        <f>J28-I28</f>
        <v>-123521.4</v>
      </c>
      <c r="L28" s="306" t="s">
        <v>224</v>
      </c>
      <c r="M28" s="365"/>
      <c r="N28" s="365"/>
      <c r="O28" s="312" t="s">
        <v>225</v>
      </c>
      <c r="P28" s="312" t="s">
        <v>225</v>
      </c>
      <c r="Q28" s="315">
        <v>162015.85</v>
      </c>
      <c r="R28" s="315"/>
      <c r="S28" s="366">
        <v>67.739999999999995</v>
      </c>
      <c r="T28" s="366"/>
      <c r="U28" s="312" t="s">
        <v>238</v>
      </c>
      <c r="V28" s="312" t="s">
        <v>238</v>
      </c>
      <c r="W28" s="306" t="s">
        <v>226</v>
      </c>
      <c r="X28" s="306"/>
      <c r="Y28" s="367"/>
      <c r="Z28" s="367"/>
    </row>
    <row r="29" spans="1:26">
      <c r="A29" s="391"/>
      <c r="B29" s="392"/>
      <c r="C29" s="327" t="s">
        <v>235</v>
      </c>
      <c r="D29" s="327"/>
      <c r="E29" s="327"/>
      <c r="F29" s="327"/>
      <c r="G29" s="327"/>
      <c r="H29" s="327"/>
      <c r="I29" s="328">
        <f>SUM(I28:I28)</f>
        <v>123521.4</v>
      </c>
      <c r="J29" s="328">
        <f>SUM(J28:J28)</f>
        <v>0</v>
      </c>
      <c r="K29" s="329">
        <f>SUM(K28:K28)</f>
        <v>-123521.4</v>
      </c>
      <c r="L29" s="327"/>
      <c r="M29" s="330">
        <f>SUM(M28)</f>
        <v>0</v>
      </c>
      <c r="N29" s="330">
        <f>SUM(N28)</f>
        <v>0</v>
      </c>
      <c r="O29" s="327"/>
      <c r="P29" s="327"/>
      <c r="Q29" s="368">
        <f>SUM(Q28)</f>
        <v>162015.85</v>
      </c>
      <c r="R29" s="368">
        <f>SUM(R28)</f>
        <v>0</v>
      </c>
      <c r="S29" s="332"/>
      <c r="T29" s="332"/>
      <c r="U29" s="332"/>
      <c r="V29" s="332"/>
      <c r="W29" s="332"/>
      <c r="X29" s="332"/>
      <c r="Y29" s="332"/>
      <c r="Z29" s="332"/>
    </row>
  </sheetData>
  <mergeCells count="60">
    <mergeCell ref="A2:H2"/>
    <mergeCell ref="A3:G3"/>
    <mergeCell ref="A4:G4"/>
    <mergeCell ref="A5:G5"/>
    <mergeCell ref="A7:A9"/>
    <mergeCell ref="B7:G7"/>
    <mergeCell ref="H7:H9"/>
    <mergeCell ref="I7:L7"/>
    <mergeCell ref="M7:P7"/>
    <mergeCell ref="K8:K9"/>
    <mergeCell ref="L8:L9"/>
    <mergeCell ref="M8:N8"/>
    <mergeCell ref="O8:O9"/>
    <mergeCell ref="Q7:X7"/>
    <mergeCell ref="Y7:Y9"/>
    <mergeCell ref="Z7:Z9"/>
    <mergeCell ref="B8:B9"/>
    <mergeCell ref="C8:C9"/>
    <mergeCell ref="D8:D9"/>
    <mergeCell ref="E8:F8"/>
    <mergeCell ref="G8:G9"/>
    <mergeCell ref="I8:I9"/>
    <mergeCell ref="J8:J9"/>
    <mergeCell ref="A11:A20"/>
    <mergeCell ref="B11:B20"/>
    <mergeCell ref="M11:M18"/>
    <mergeCell ref="N11:N18"/>
    <mergeCell ref="H12:H19"/>
    <mergeCell ref="P8:P9"/>
    <mergeCell ref="Q8:R8"/>
    <mergeCell ref="S8:T8"/>
    <mergeCell ref="U8:V8"/>
    <mergeCell ref="W8:X8"/>
    <mergeCell ref="W12:W19"/>
    <mergeCell ref="X12:X19"/>
    <mergeCell ref="Y12:Y19"/>
    <mergeCell ref="Z12:Z19"/>
    <mergeCell ref="Q12:Q19"/>
    <mergeCell ref="R12:R19"/>
    <mergeCell ref="S12:S19"/>
    <mergeCell ref="T12:T19"/>
    <mergeCell ref="U12:U19"/>
    <mergeCell ref="V12:V19"/>
    <mergeCell ref="Y21:Y23"/>
    <mergeCell ref="Z21:Z23"/>
    <mergeCell ref="A25:A26"/>
    <mergeCell ref="B25:B26"/>
    <mergeCell ref="A21:A24"/>
    <mergeCell ref="B21:B24"/>
    <mergeCell ref="H21:H23"/>
    <mergeCell ref="Q21:Q23"/>
    <mergeCell ref="R21:R23"/>
    <mergeCell ref="S21:S23"/>
    <mergeCell ref="T21:T23"/>
    <mergeCell ref="U21:U23"/>
    <mergeCell ref="A27:A29"/>
    <mergeCell ref="B27:B29"/>
    <mergeCell ref="V21:V23"/>
    <mergeCell ref="W21:W23"/>
    <mergeCell ref="X21:X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пер. тепла</vt:lpstr>
      <vt:lpstr>снабжение тепла</vt:lpstr>
      <vt:lpstr>вода</vt:lpstr>
      <vt:lpstr>отведение</vt:lpstr>
      <vt:lpstr>эл.эн</vt:lpstr>
      <vt:lpstr>ИП</vt:lpstr>
      <vt:lpstr>вода!Заголовки_для_печати</vt:lpstr>
      <vt:lpstr>отведение!Заголовки_для_печати</vt:lpstr>
      <vt:lpstr>'пер. тепла'!Заголовки_для_печати</vt:lpstr>
      <vt:lpstr>'снабжение тепла'!Заголовки_для_печати</vt:lpstr>
      <vt:lpstr>эл.эн!Заголовки_для_печати</vt:lpstr>
      <vt:lpstr>вода!Область_печати</vt:lpstr>
      <vt:lpstr>отведение!Область_печати</vt:lpstr>
      <vt:lpstr>'пер. тепла'!Область_печати</vt:lpstr>
      <vt:lpstr>'снабжение тепла'!Область_печати</vt:lpstr>
      <vt:lpstr>эл.эн!Область_печати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2022-08-01T10:28:14Z</dcterms:modified>
</cp:coreProperties>
</file>